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ário\OneDrive - Ministério do Meio Ambiente\Ozônio 2020\Projeto GIZ\Manufatura Reversa\Revert - Dados da Manufatura\"/>
    </mc:Choice>
  </mc:AlternateContent>
  <xr:revisionPtr revIDLastSave="103" documentId="8_{602AE60D-3854-4DD1-8DA3-A3FBDAEDA265}" xr6:coauthVersionLast="44" xr6:coauthVersionMax="45" xr10:uidLastSave="{3E7BCA98-FC22-4D83-A5EA-87F5AFC7529C}"/>
  <bookViews>
    <workbookView xWindow="-108" yWindow="-108" windowWidth="23256" windowHeight="12576" activeTab="9" xr2:uid="{00000000-000D-0000-FFFF-FFFF00000000}"/>
  </bookViews>
  <sheets>
    <sheet name="2010-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  <sheet name="2019" sheetId="9" r:id="rId9"/>
    <sheet name="Total" sheetId="10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0" l="1"/>
  <c r="B18" i="10"/>
  <c r="B17" i="10"/>
  <c r="B16" i="10"/>
  <c r="B15" i="10"/>
  <c r="B19" i="10"/>
  <c r="B20" i="10"/>
  <c r="B14" i="10"/>
  <c r="B12" i="10"/>
  <c r="B11" i="10"/>
  <c r="B10" i="10"/>
  <c r="B6" i="10"/>
  <c r="E10" i="10"/>
  <c r="E11" i="10"/>
  <c r="E12" i="10"/>
  <c r="E13" i="10"/>
  <c r="E18" i="9"/>
  <c r="E19" i="9"/>
  <c r="E20" i="9"/>
  <c r="E21" i="9"/>
  <c r="B16" i="9"/>
  <c r="B15" i="9"/>
  <c r="E18" i="8"/>
  <c r="E19" i="8"/>
  <c r="E20" i="8"/>
  <c r="E21" i="8"/>
  <c r="B16" i="8"/>
  <c r="B15" i="8"/>
  <c r="E16" i="7"/>
  <c r="E17" i="7"/>
  <c r="E18" i="7"/>
  <c r="E19" i="7"/>
  <c r="B14" i="7"/>
  <c r="B13" i="7"/>
  <c r="E16" i="6"/>
  <c r="E17" i="6"/>
  <c r="E18" i="6"/>
  <c r="E19" i="6"/>
  <c r="B14" i="6"/>
  <c r="B13" i="6"/>
  <c r="E15" i="5"/>
  <c r="E16" i="5"/>
  <c r="E17" i="5"/>
  <c r="E18" i="5"/>
  <c r="B13" i="5"/>
  <c r="B12" i="5"/>
  <c r="E14" i="4"/>
  <c r="E15" i="4"/>
  <c r="E16" i="4"/>
  <c r="E17" i="4"/>
  <c r="B12" i="4"/>
  <c r="B11" i="4"/>
  <c r="E14" i="3"/>
  <c r="E15" i="3"/>
  <c r="E16" i="3"/>
  <c r="E17" i="3"/>
  <c r="B12" i="3"/>
  <c r="B9" i="3"/>
  <c r="B11" i="3"/>
  <c r="B25" i="2"/>
  <c r="B24" i="2"/>
  <c r="B23" i="2"/>
  <c r="B21" i="2"/>
  <c r="B20" i="2"/>
  <c r="B19" i="2"/>
  <c r="B18" i="2"/>
  <c r="E14" i="2"/>
  <c r="E15" i="2"/>
  <c r="E16" i="2"/>
  <c r="E17" i="2"/>
  <c r="B12" i="2"/>
  <c r="B9" i="2"/>
  <c r="B11" i="2"/>
  <c r="B7" i="1"/>
  <c r="B11" i="1"/>
  <c r="B14" i="1"/>
  <c r="E14" i="1"/>
  <c r="B12" i="1"/>
  <c r="B15" i="1"/>
  <c r="E15" i="1"/>
  <c r="B16" i="1"/>
  <c r="E16" i="1"/>
  <c r="E17" i="1"/>
  <c r="B9" i="1"/>
  <c r="B6" i="1"/>
</calcChain>
</file>

<file path=xl/sharedStrings.xml><?xml version="1.0" encoding="utf-8"?>
<sst xmlns="http://schemas.openxmlformats.org/spreadsheetml/2006/main" count="383" uniqueCount="60">
  <si>
    <t>Monitoring</t>
  </si>
  <si>
    <t>from</t>
  </si>
  <si>
    <t>to</t>
  </si>
  <si>
    <t>kg</t>
  </si>
  <si>
    <t>plastic</t>
  </si>
  <si>
    <t>metal</t>
  </si>
  <si>
    <t>aluminium</t>
  </si>
  <si>
    <t>PU</t>
  </si>
  <si>
    <t># refrigerators total amount</t>
  </si>
  <si>
    <t># fridges with R12</t>
  </si>
  <si>
    <t># PU-isolated fridges (R11)</t>
  </si>
  <si>
    <t>average gas reclaim per fridge step 1</t>
  </si>
  <si>
    <t># fridges with R134a</t>
  </si>
  <si>
    <t>average gas reclaim per fridge step 2</t>
  </si>
  <si>
    <t>R12 reclaim total</t>
  </si>
  <si>
    <t>R11  reclaim total</t>
  </si>
  <si>
    <t>Copper</t>
  </si>
  <si>
    <t>Compressor</t>
  </si>
  <si>
    <t>Glaswool</t>
  </si>
  <si>
    <t>Rubber</t>
  </si>
  <si>
    <t>pc</t>
  </si>
  <si>
    <t># with tight cooling circiut (70%)</t>
  </si>
  <si>
    <t>R134a reclaim total</t>
  </si>
  <si>
    <t>Average energy consumption per month</t>
  </si>
  <si>
    <t>kwh</t>
  </si>
  <si>
    <t>t CO2eq</t>
  </si>
  <si>
    <t xml:space="preserve"> </t>
  </si>
  <si>
    <t>Avoided Emissions CO2 eq</t>
  </si>
  <si>
    <t>refrigerators total amount</t>
  </si>
  <si>
    <t>PU-isolated fridges (R11)</t>
  </si>
  <si>
    <t>fridges with R12</t>
  </si>
  <si>
    <t>fridges with R134a</t>
  </si>
  <si>
    <t>with tight cooling circuit (80%)</t>
  </si>
  <si>
    <t>with tight cooling circuit (90%)</t>
  </si>
  <si>
    <t>Step 1</t>
  </si>
  <si>
    <t>Step 2</t>
  </si>
  <si>
    <t>with tight cooling circuit (~88%)</t>
  </si>
  <si>
    <t>fridges with R600a</t>
  </si>
  <si>
    <t>with tight cooling circuit (~94%)</t>
  </si>
  <si>
    <t xml:space="preserve">kg </t>
  </si>
  <si>
    <t xml:space="preserve">with tight cooling circuit </t>
  </si>
  <si>
    <t>without identification</t>
  </si>
  <si>
    <t>without gas</t>
  </si>
  <si>
    <t>without identification plate</t>
  </si>
  <si>
    <t>Início</t>
  </si>
  <si>
    <t>Até</t>
  </si>
  <si>
    <t>Quantidade total de refrigeradores Reciclados</t>
  </si>
  <si>
    <t>GWP</t>
  </si>
  <si>
    <t>Resultados da Manufatura Reversa</t>
  </si>
  <si>
    <t>R12 recuperado</t>
  </si>
  <si>
    <t>R11 recuperado</t>
  </si>
  <si>
    <t>R134a recuperado</t>
  </si>
  <si>
    <t>Plástico</t>
  </si>
  <si>
    <t>Metal</t>
  </si>
  <si>
    <t>Alumínico</t>
  </si>
  <si>
    <t>Cobre</t>
  </si>
  <si>
    <t>Borracha</t>
  </si>
  <si>
    <t>Lã de Vidro</t>
  </si>
  <si>
    <t>Espuma PU</t>
  </si>
  <si>
    <t>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</si>
</sst>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/m/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1DE"/>
        <bgColor rgb="FFFDEADA"/>
      </patternFill>
    </fill>
    <fill>
      <patternFill patternType="solid">
        <fgColor rgb="FFC6D9F1"/>
        <bgColor rgb="FFDDDDDD"/>
      </patternFill>
    </fill>
    <fill>
      <patternFill patternType="solid">
        <fgColor rgb="FFFDEADA"/>
        <bgColor rgb="FFEBF1DE"/>
      </patternFill>
    </fill>
    <fill>
      <patternFill patternType="solid">
        <fgColor rgb="FFFAC090"/>
        <bgColor rgb="FFFF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3" borderId="0" xfId="0" applyNumberFormat="1" applyFill="1"/>
    <xf numFmtId="14" fontId="0" fillId="2" borderId="0" xfId="0" applyNumberFormat="1" applyFill="1"/>
    <xf numFmtId="0" fontId="0" fillId="3" borderId="0" xfId="0" applyFill="1"/>
    <xf numFmtId="1" fontId="0" fillId="4" borderId="0" xfId="0" applyNumberFormat="1" applyFill="1"/>
    <xf numFmtId="0" fontId="0" fillId="2" borderId="0" xfId="0" applyFill="1" applyAlignment="1">
      <alignment horizontal="right"/>
    </xf>
    <xf numFmtId="1" fontId="0" fillId="2" borderId="0" xfId="0" applyNumberFormat="1" applyFill="1"/>
    <xf numFmtId="9" fontId="0" fillId="2" borderId="0" xfId="0" applyNumberFormat="1" applyFill="1"/>
    <xf numFmtId="1" fontId="0" fillId="5" borderId="0" xfId="0" applyNumberFormat="1" applyFill="1"/>
    <xf numFmtId="3" fontId="0" fillId="3" borderId="0" xfId="0" applyNumberFormat="1" applyFill="1"/>
    <xf numFmtId="164" fontId="0" fillId="4" borderId="0" xfId="0" applyNumberFormat="1" applyFill="1"/>
    <xf numFmtId="0" fontId="0" fillId="2" borderId="0" xfId="0" applyFill="1" applyAlignment="1">
      <alignment horizontal="left"/>
    </xf>
    <xf numFmtId="2" fontId="0" fillId="3" borderId="0" xfId="0" applyNumberFormat="1" applyFill="1"/>
    <xf numFmtId="2" fontId="0" fillId="4" borderId="0" xfId="0" applyNumberFormat="1" applyFill="1"/>
    <xf numFmtId="3" fontId="0" fillId="0" borderId="0" xfId="0" applyNumberFormat="1"/>
    <xf numFmtId="0" fontId="0" fillId="6" borderId="0" xfId="0" applyFill="1"/>
    <xf numFmtId="0" fontId="1" fillId="6" borderId="0" xfId="0" applyFont="1" applyFill="1" applyAlignment="1">
      <alignment horizontal="right"/>
    </xf>
    <xf numFmtId="3" fontId="0" fillId="6" borderId="0" xfId="0" applyNumberFormat="1" applyFill="1"/>
    <xf numFmtId="3" fontId="1" fillId="6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/>
    <xf numFmtId="3" fontId="0" fillId="4" borderId="0" xfId="0" applyNumberFormat="1" applyFill="1"/>
    <xf numFmtId="0" fontId="2" fillId="6" borderId="0" xfId="0" applyFont="1" applyFill="1" applyAlignment="1">
      <alignment horizontal="right"/>
    </xf>
    <xf numFmtId="3" fontId="2" fillId="6" borderId="0" xfId="0" applyNumberFormat="1" applyFont="1" applyFill="1"/>
    <xf numFmtId="4" fontId="0" fillId="3" borderId="0" xfId="0" applyNumberFormat="1" applyFill="1"/>
    <xf numFmtId="4" fontId="0" fillId="3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4" fontId="0" fillId="0" borderId="0" xfId="0" applyNumberFormat="1"/>
    <xf numFmtId="3" fontId="0" fillId="7" borderId="0" xfId="0" applyNumberFormat="1" applyFill="1"/>
    <xf numFmtId="4" fontId="0" fillId="8" borderId="0" xfId="0" applyNumberFormat="1" applyFill="1"/>
    <xf numFmtId="3" fontId="0" fillId="8" borderId="0" xfId="0" applyNumberFormat="1" applyFill="1"/>
    <xf numFmtId="0" fontId="3" fillId="0" borderId="0" xfId="0" applyFont="1"/>
    <xf numFmtId="0" fontId="0" fillId="9" borderId="0" xfId="0" applyFill="1"/>
    <xf numFmtId="165" fontId="0" fillId="10" borderId="0" xfId="0" applyNumberFormat="1" applyFill="1"/>
    <xf numFmtId="165" fontId="0" fillId="9" borderId="0" xfId="0" applyNumberFormat="1" applyFill="1"/>
    <xf numFmtId="3" fontId="0" fillId="10" borderId="0" xfId="0" applyNumberFormat="1" applyFill="1"/>
    <xf numFmtId="3" fontId="0" fillId="11" borderId="0" xfId="0" applyNumberFormat="1" applyFill="1"/>
    <xf numFmtId="3" fontId="0" fillId="11" borderId="0" xfId="0" applyNumberFormat="1" applyFill="1" applyAlignment="1">
      <alignment horizontal="right"/>
    </xf>
    <xf numFmtId="0" fontId="0" fillId="9" borderId="0" xfId="0" applyFill="1" applyAlignment="1">
      <alignment horizontal="right"/>
    </xf>
    <xf numFmtId="1" fontId="0" fillId="9" borderId="0" xfId="0" applyNumberFormat="1" applyFill="1"/>
    <xf numFmtId="164" fontId="0" fillId="11" borderId="0" xfId="0" applyNumberFormat="1" applyFill="1"/>
    <xf numFmtId="0" fontId="0" fillId="9" borderId="0" xfId="0" applyFill="1" applyAlignment="1">
      <alignment horizontal="left"/>
    </xf>
    <xf numFmtId="0" fontId="3" fillId="0" borderId="0" xfId="0" applyFont="1" applyAlignment="1">
      <alignment horizontal="center"/>
    </xf>
    <xf numFmtId="9" fontId="0" fillId="9" borderId="0" xfId="0" applyNumberFormat="1" applyFill="1"/>
    <xf numFmtId="0" fontId="0" fillId="12" borderId="0" xfId="0" applyFill="1"/>
    <xf numFmtId="0" fontId="3" fillId="12" borderId="0" xfId="0" applyFont="1" applyFill="1" applyAlignment="1">
      <alignment horizontal="right"/>
    </xf>
    <xf numFmtId="4" fontId="0" fillId="10" borderId="0" xfId="0" applyNumberFormat="1" applyFill="1"/>
    <xf numFmtId="4" fontId="0" fillId="1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zoomScale="90" zoomScaleNormal="90" workbookViewId="0">
      <selection activeCell="G26" sqref="G26:G27"/>
    </sheetView>
  </sheetViews>
  <sheetFormatPr defaultColWidth="11.5546875" defaultRowHeight="14.4" x14ac:dyDescent="0.3"/>
  <cols>
    <col min="1" max="1" width="36.77734375" customWidth="1"/>
    <col min="2" max="2" width="11.6640625" bestFit="1" customWidth="1"/>
    <col min="5" max="5" width="13.77734375" customWidth="1"/>
  </cols>
  <sheetData>
    <row r="1" spans="1:6" x14ac:dyDescent="0.3">
      <c r="A1" t="s">
        <v>0</v>
      </c>
    </row>
    <row r="2" spans="1:6" x14ac:dyDescent="0.3">
      <c r="A2" s="1" t="s">
        <v>1</v>
      </c>
      <c r="B2" s="2">
        <v>40497</v>
      </c>
      <c r="C2" s="1"/>
    </row>
    <row r="3" spans="1:6" x14ac:dyDescent="0.3">
      <c r="A3" s="1" t="s">
        <v>2</v>
      </c>
      <c r="B3" s="2">
        <v>40908</v>
      </c>
      <c r="C3" s="1"/>
    </row>
    <row r="4" spans="1:6" x14ac:dyDescent="0.3">
      <c r="A4" s="1"/>
      <c r="B4" s="3"/>
      <c r="C4" s="1"/>
    </row>
    <row r="5" spans="1:6" x14ac:dyDescent="0.3">
      <c r="A5" s="1" t="s">
        <v>8</v>
      </c>
      <c r="B5" s="10">
        <v>16679</v>
      </c>
      <c r="C5" s="1"/>
    </row>
    <row r="6" spans="1:6" x14ac:dyDescent="0.3">
      <c r="A6" s="1" t="s">
        <v>10</v>
      </c>
      <c r="B6" s="5">
        <f>16679 -11049</f>
        <v>5630</v>
      </c>
      <c r="C6" s="6"/>
    </row>
    <row r="7" spans="1:6" x14ac:dyDescent="0.3">
      <c r="A7" s="1" t="s">
        <v>9</v>
      </c>
      <c r="B7" s="5">
        <f>16679-3336</f>
        <v>13343</v>
      </c>
      <c r="C7" s="6"/>
    </row>
    <row r="8" spans="1:6" x14ac:dyDescent="0.3">
      <c r="A8" s="1" t="s">
        <v>12</v>
      </c>
      <c r="B8" s="5">
        <v>3336</v>
      </c>
      <c r="C8" s="6"/>
    </row>
    <row r="9" spans="1:6" x14ac:dyDescent="0.3">
      <c r="A9" s="1" t="s">
        <v>21</v>
      </c>
      <c r="B9" s="5">
        <f>16679 - (16679*0.3)</f>
        <v>11675.3</v>
      </c>
      <c r="C9" s="6"/>
    </row>
    <row r="10" spans="1:6" x14ac:dyDescent="0.3">
      <c r="A10" s="1"/>
      <c r="B10" s="7"/>
      <c r="C10" s="6"/>
    </row>
    <row r="11" spans="1:6" x14ac:dyDescent="0.3">
      <c r="A11" s="1" t="s">
        <v>11</v>
      </c>
      <c r="B11" s="11">
        <f>978/11675</f>
        <v>8.3768736616702352E-2</v>
      </c>
      <c r="C11" s="12" t="s">
        <v>3</v>
      </c>
    </row>
    <row r="12" spans="1:6" x14ac:dyDescent="0.3">
      <c r="A12" s="1" t="s">
        <v>13</v>
      </c>
      <c r="B12" s="11">
        <f>720/5630</f>
        <v>0.12788632326820604</v>
      </c>
      <c r="C12" s="12" t="s">
        <v>3</v>
      </c>
      <c r="D12" s="20" t="s">
        <v>27</v>
      </c>
      <c r="E12" s="20"/>
    </row>
    <row r="13" spans="1:6" x14ac:dyDescent="0.3">
      <c r="A13" s="1"/>
      <c r="B13" s="8"/>
      <c r="C13" s="6"/>
      <c r="D13" s="16"/>
      <c r="E13" s="17" t="s">
        <v>25</v>
      </c>
    </row>
    <row r="14" spans="1:6" x14ac:dyDescent="0.3">
      <c r="A14" s="1" t="s">
        <v>14</v>
      </c>
      <c r="B14" s="13">
        <f>(B7-(B7*0.3))*B11</f>
        <v>782.40837687366172</v>
      </c>
      <c r="C14" s="1" t="s">
        <v>3</v>
      </c>
      <c r="D14" s="18">
        <v>10900</v>
      </c>
      <c r="E14" s="18">
        <f>B14*D14/1000</f>
        <v>8528.251307922912</v>
      </c>
      <c r="F14" s="15"/>
    </row>
    <row r="15" spans="1:6" x14ac:dyDescent="0.3">
      <c r="A15" s="1" t="s">
        <v>15</v>
      </c>
      <c r="B15" s="9">
        <f>5630*B12</f>
        <v>720</v>
      </c>
      <c r="C15" s="1" t="s">
        <v>3</v>
      </c>
      <c r="D15" s="18">
        <v>4750</v>
      </c>
      <c r="E15" s="18">
        <f t="shared" ref="E15:E16" si="0">B15*D15/1000</f>
        <v>3420</v>
      </c>
      <c r="F15" s="15"/>
    </row>
    <row r="16" spans="1:6" x14ac:dyDescent="0.3">
      <c r="A16" s="1" t="s">
        <v>22</v>
      </c>
      <c r="B16" s="14">
        <f>(B8-(B8*0.3))*B11</f>
        <v>195.61675374732332</v>
      </c>
      <c r="C16" s="1" t="s">
        <v>3</v>
      </c>
      <c r="D16" s="18">
        <v>1430</v>
      </c>
      <c r="E16" s="18">
        <f t="shared" si="0"/>
        <v>279.73195785867239</v>
      </c>
      <c r="F16" s="15"/>
    </row>
    <row r="17" spans="1:6" x14ac:dyDescent="0.3">
      <c r="A17" s="1"/>
      <c r="B17" s="1"/>
      <c r="C17" s="1"/>
      <c r="D17" s="18"/>
      <c r="E17" s="19">
        <f>SUM(E14:E16)</f>
        <v>12227.983265781584</v>
      </c>
      <c r="F17" s="15" t="s">
        <v>26</v>
      </c>
    </row>
    <row r="18" spans="1:6" x14ac:dyDescent="0.3">
      <c r="A18" s="1" t="s">
        <v>4</v>
      </c>
      <c r="B18" s="4">
        <v>50400</v>
      </c>
      <c r="C18" s="1" t="s">
        <v>3</v>
      </c>
    </row>
    <row r="19" spans="1:6" x14ac:dyDescent="0.3">
      <c r="A19" s="1" t="s">
        <v>5</v>
      </c>
      <c r="B19" s="4">
        <v>592960</v>
      </c>
      <c r="C19" s="1" t="s">
        <v>3</v>
      </c>
    </row>
    <row r="20" spans="1:6" x14ac:dyDescent="0.3">
      <c r="A20" s="1" t="s">
        <v>6</v>
      </c>
      <c r="B20" s="4">
        <v>20310</v>
      </c>
      <c r="C20" s="1" t="s">
        <v>3</v>
      </c>
    </row>
    <row r="21" spans="1:6" x14ac:dyDescent="0.3">
      <c r="A21" s="1" t="s">
        <v>16</v>
      </c>
      <c r="B21" s="4">
        <v>3890</v>
      </c>
      <c r="C21" s="1" t="s">
        <v>3</v>
      </c>
    </row>
    <row r="22" spans="1:6" x14ac:dyDescent="0.3">
      <c r="A22" s="1" t="s">
        <v>17</v>
      </c>
      <c r="B22" s="4">
        <v>15456</v>
      </c>
      <c r="C22" s="1" t="s">
        <v>20</v>
      </c>
    </row>
    <row r="23" spans="1:6" x14ac:dyDescent="0.3">
      <c r="A23" s="1" t="s">
        <v>19</v>
      </c>
      <c r="B23" s="4">
        <v>6860</v>
      </c>
      <c r="C23" s="1" t="s">
        <v>3</v>
      </c>
    </row>
    <row r="24" spans="1:6" x14ac:dyDescent="0.3">
      <c r="A24" s="1" t="s">
        <v>18</v>
      </c>
      <c r="B24" s="4">
        <v>123540</v>
      </c>
      <c r="C24" s="1" t="s">
        <v>3</v>
      </c>
    </row>
    <row r="25" spans="1:6" x14ac:dyDescent="0.3">
      <c r="A25" s="1" t="s">
        <v>7</v>
      </c>
      <c r="B25" s="4">
        <v>9610</v>
      </c>
      <c r="C25" s="1" t="s">
        <v>3</v>
      </c>
    </row>
    <row r="27" spans="1:6" x14ac:dyDescent="0.3">
      <c r="A27" s="1" t="s">
        <v>23</v>
      </c>
      <c r="B27" s="4">
        <v>320</v>
      </c>
      <c r="C27" s="1" t="s">
        <v>24</v>
      </c>
    </row>
  </sheetData>
  <mergeCells count="1">
    <mergeCell ref="D12:E12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45595-AB4C-4390-BF64-70AC7D042B06}">
  <dimension ref="A1:E21"/>
  <sheetViews>
    <sheetView tabSelected="1" workbookViewId="0">
      <selection activeCell="H16" sqref="H16"/>
    </sheetView>
  </sheetViews>
  <sheetFormatPr defaultColWidth="8.77734375" defaultRowHeight="14.4" x14ac:dyDescent="0.3"/>
  <cols>
    <col min="1" max="1" width="39.109375" bestFit="1" customWidth="1"/>
    <col min="2" max="4" width="14.21875" customWidth="1"/>
  </cols>
  <sheetData>
    <row r="1" spans="1:5" ht="37.200000000000003" customHeight="1" x14ac:dyDescent="0.3">
      <c r="A1" s="32" t="s">
        <v>48</v>
      </c>
    </row>
    <row r="2" spans="1:5" x14ac:dyDescent="0.3">
      <c r="A2" s="33" t="s">
        <v>44</v>
      </c>
      <c r="B2" s="2">
        <v>40497</v>
      </c>
      <c r="C2" s="33"/>
    </row>
    <row r="3" spans="1:5" x14ac:dyDescent="0.3">
      <c r="A3" s="33" t="s">
        <v>45</v>
      </c>
      <c r="B3" s="34">
        <v>43830</v>
      </c>
      <c r="C3" s="33"/>
    </row>
    <row r="4" spans="1:5" x14ac:dyDescent="0.3">
      <c r="A4" s="33"/>
      <c r="B4" s="35"/>
      <c r="C4" s="33"/>
    </row>
    <row r="5" spans="1:5" x14ac:dyDescent="0.3">
      <c r="A5" s="33"/>
      <c r="B5" s="35"/>
      <c r="C5" s="33"/>
    </row>
    <row r="6" spans="1:5" x14ac:dyDescent="0.3">
      <c r="A6" s="33" t="s">
        <v>46</v>
      </c>
      <c r="B6" s="36">
        <f>'2010-2011'!B5+'2012'!B5+'2013'!B5+'2014'!B5+'2015'!B6+'2016'!B6+'2017'!B6+'2018'!B6+'2018'!B6</f>
        <v>231559</v>
      </c>
      <c r="C6" s="39" t="s">
        <v>59</v>
      </c>
    </row>
    <row r="7" spans="1:5" x14ac:dyDescent="0.3">
      <c r="A7" s="33"/>
      <c r="B7" s="33"/>
      <c r="C7" s="33"/>
    </row>
    <row r="8" spans="1:5" x14ac:dyDescent="0.3">
      <c r="A8" s="33"/>
      <c r="B8" s="33"/>
      <c r="C8" s="33"/>
      <c r="D8" s="43" t="s">
        <v>27</v>
      </c>
      <c r="E8" s="43"/>
    </row>
    <row r="9" spans="1:5" x14ac:dyDescent="0.3">
      <c r="A9" s="33"/>
      <c r="B9" s="44"/>
      <c r="C9" s="39"/>
      <c r="D9" s="45" t="s">
        <v>47</v>
      </c>
      <c r="E9" s="46" t="s">
        <v>25</v>
      </c>
    </row>
    <row r="10" spans="1:5" x14ac:dyDescent="0.3">
      <c r="A10" s="33" t="s">
        <v>49</v>
      </c>
      <c r="B10" s="38">
        <f>'2010-2011'!B14+'2012'!B14+'2013'!B14+'2014'!B14+'2015'!B15+'2016'!B16+'2017'!B16+'2018'!B18+'2019'!B18</f>
        <v>4858.2488248577338</v>
      </c>
      <c r="C10" s="33" t="s">
        <v>3</v>
      </c>
      <c r="D10" s="18">
        <v>10900</v>
      </c>
      <c r="E10" s="18">
        <f>B10*D10/1000</f>
        <v>52954.912190949297</v>
      </c>
    </row>
    <row r="11" spans="1:5" x14ac:dyDescent="0.3">
      <c r="A11" s="33" t="s">
        <v>50</v>
      </c>
      <c r="B11" s="38">
        <f>'2010-2011'!B15+'2012'!B15+'2013'!B15+'2014'!B15+'2015'!B16+'2016'!B17+'2017'!B17+'2018'!B19+'2019'!B19</f>
        <v>19807.759999999998</v>
      </c>
      <c r="C11" s="33" t="s">
        <v>3</v>
      </c>
      <c r="D11" s="18">
        <v>4750</v>
      </c>
      <c r="E11" s="18">
        <f t="shared" ref="E11:E12" si="0">B11*D11/1000</f>
        <v>94086.859999999986</v>
      </c>
    </row>
    <row r="12" spans="1:5" x14ac:dyDescent="0.3">
      <c r="A12" s="33" t="s">
        <v>51</v>
      </c>
      <c r="B12" s="38">
        <f>'2010-2011'!B16+'2012'!B16+'2013'!B16+'2014'!B16+'2015'!B17+'2016'!B18+'2017'!B18+'2018'!B20+'2019'!B20</f>
        <v>6237.986305763251</v>
      </c>
      <c r="C12" s="33" t="s">
        <v>3</v>
      </c>
      <c r="D12" s="18">
        <v>1430</v>
      </c>
      <c r="E12" s="18">
        <f t="shared" si="0"/>
        <v>8920.320417241448</v>
      </c>
    </row>
    <row r="13" spans="1:5" x14ac:dyDescent="0.3">
      <c r="A13" s="33"/>
      <c r="B13" s="33"/>
      <c r="C13" s="33"/>
      <c r="D13" s="29"/>
      <c r="E13" s="24">
        <f>SUM(E10:E12)</f>
        <v>155962.09260819075</v>
      </c>
    </row>
    <row r="14" spans="1:5" x14ac:dyDescent="0.3">
      <c r="A14" s="33" t="s">
        <v>52</v>
      </c>
      <c r="B14" s="47">
        <f>'2010-2011'!B18+'2012'!B18+'2013'!B18+'2014'!B18+'2015'!B19+'2016'!B20+'2017'!B20+'2018'!B22+'2019'!B22</f>
        <v>1390473.8910000001</v>
      </c>
      <c r="C14" s="33" t="s">
        <v>3</v>
      </c>
    </row>
    <row r="15" spans="1:5" x14ac:dyDescent="0.3">
      <c r="A15" s="33" t="s">
        <v>53</v>
      </c>
      <c r="B15" s="47">
        <f>'2010-2011'!B19+'2012'!B19+'2013'!B19+'2014'!B19+'2015'!B20+'2016'!B21+'2017'!B21+'2018'!B23+'2019'!B23</f>
        <v>5458266.0520000001</v>
      </c>
      <c r="C15" s="33" t="s">
        <v>3</v>
      </c>
    </row>
    <row r="16" spans="1:5" x14ac:dyDescent="0.3">
      <c r="A16" s="33" t="s">
        <v>54</v>
      </c>
      <c r="B16" s="47">
        <f>'2010-2011'!B20+'2012'!B20+'2013'!B20+'2014'!B20+'2015'!B21+'2016'!B22+'2017'!B22+'2018'!B24+'2019'!B24</f>
        <v>309065.03999999998</v>
      </c>
      <c r="C16" s="33" t="s">
        <v>3</v>
      </c>
    </row>
    <row r="17" spans="1:3" x14ac:dyDescent="0.3">
      <c r="A17" s="33" t="s">
        <v>55</v>
      </c>
      <c r="B17" s="47">
        <f>'2010-2011'!B21+'2012'!B21+'2013'!B21+'2014'!B21+'2015'!B22+'2016'!B23+'2017'!B23+'2018'!B25+'2019'!B25</f>
        <v>39575.023349999996</v>
      </c>
      <c r="C17" s="33" t="s">
        <v>3</v>
      </c>
    </row>
    <row r="18" spans="1:3" x14ac:dyDescent="0.3">
      <c r="A18" s="33" t="s">
        <v>17</v>
      </c>
      <c r="B18" s="36">
        <f>'2010-2011'!B22+'2012'!B22+'2013'!B22+'2014'!B22+'2015'!B23+'2016'!B24+'2017'!B24+'2018'!B26+'2019'!B26</f>
        <v>219869</v>
      </c>
      <c r="C18" s="39" t="s">
        <v>59</v>
      </c>
    </row>
    <row r="19" spans="1:3" x14ac:dyDescent="0.3">
      <c r="A19" s="33" t="s">
        <v>56</v>
      </c>
      <c r="B19" s="47">
        <f>'2010-2011'!B23+'2012'!B23+'2013'!B23+'2014'!B23+'2015'!B24+'2016'!B25+'2017'!B25+'2018'!B27+'2019'!B27</f>
        <v>153400.03</v>
      </c>
      <c r="C19" s="33" t="s">
        <v>3</v>
      </c>
    </row>
    <row r="20" spans="1:3" x14ac:dyDescent="0.3">
      <c r="A20" s="33" t="s">
        <v>57</v>
      </c>
      <c r="B20" s="47">
        <f>'2010-2011'!B24+'2012'!B24+'2013'!B24+'2014'!B24+'2015'!B25+'2016'!B26+'2017'!B26+'2018'!B28+'2019'!B28</f>
        <v>317640.78000000003</v>
      </c>
      <c r="C20" s="33" t="s">
        <v>3</v>
      </c>
    </row>
    <row r="21" spans="1:3" x14ac:dyDescent="0.3">
      <c r="A21" s="33" t="s">
        <v>58</v>
      </c>
      <c r="B21" s="47">
        <f>'2010-2011'!B25+'2012'!B25+'2013'!B25+'2014'!B25+'2015'!B26+'2016'!B27+'2017'!B27+'2018'!B29+'2019'!B29</f>
        <v>469867.89</v>
      </c>
      <c r="C21" s="33" t="s">
        <v>3</v>
      </c>
    </row>
  </sheetData>
  <mergeCells count="1">
    <mergeCell ref="D8:E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="90" zoomScaleNormal="90" workbookViewId="0">
      <selection activeCell="B22" sqref="B22"/>
    </sheetView>
  </sheetViews>
  <sheetFormatPr defaultColWidth="11.5546875" defaultRowHeight="14.4" x14ac:dyDescent="0.3"/>
  <cols>
    <col min="1" max="1" width="36.6640625" customWidth="1"/>
    <col min="2" max="2" width="11.6640625" bestFit="1" customWidth="1"/>
    <col min="5" max="5" width="13.88671875" customWidth="1"/>
  </cols>
  <sheetData>
    <row r="1" spans="1:6" x14ac:dyDescent="0.3">
      <c r="A1" s="21" t="s">
        <v>0</v>
      </c>
    </row>
    <row r="2" spans="1:6" x14ac:dyDescent="0.3">
      <c r="A2" s="1" t="s">
        <v>1</v>
      </c>
      <c r="B2" s="2">
        <v>40909</v>
      </c>
      <c r="C2" s="1"/>
    </row>
    <row r="3" spans="1:6" x14ac:dyDescent="0.3">
      <c r="A3" s="1" t="s">
        <v>2</v>
      </c>
      <c r="B3" s="2">
        <v>41274</v>
      </c>
      <c r="C3" s="1"/>
    </row>
    <row r="4" spans="1:6" x14ac:dyDescent="0.3">
      <c r="A4" s="1"/>
      <c r="B4" s="3"/>
      <c r="C4" s="1"/>
    </row>
    <row r="5" spans="1:6" x14ac:dyDescent="0.3">
      <c r="A5" s="1" t="s">
        <v>28</v>
      </c>
      <c r="B5" s="10">
        <v>11899</v>
      </c>
      <c r="C5" s="1"/>
    </row>
    <row r="6" spans="1:6" x14ac:dyDescent="0.3">
      <c r="A6" s="1" t="s">
        <v>29</v>
      </c>
      <c r="B6" s="22">
        <v>7859</v>
      </c>
      <c r="C6" s="6"/>
    </row>
    <row r="7" spans="1:6" x14ac:dyDescent="0.3">
      <c r="A7" s="1" t="s">
        <v>30</v>
      </c>
      <c r="B7" s="22">
        <v>5921</v>
      </c>
      <c r="C7" s="6"/>
    </row>
    <row r="8" spans="1:6" x14ac:dyDescent="0.3">
      <c r="A8" s="1" t="s">
        <v>31</v>
      </c>
      <c r="B8" s="22">
        <v>5411</v>
      </c>
      <c r="C8" s="6"/>
    </row>
    <row r="9" spans="1:6" x14ac:dyDescent="0.3">
      <c r="A9" s="1" t="s">
        <v>32</v>
      </c>
      <c r="B9" s="22">
        <f>B5 - (B5*0.2)</f>
        <v>9519.2000000000007</v>
      </c>
      <c r="C9" s="6"/>
    </row>
    <row r="10" spans="1:6" x14ac:dyDescent="0.3">
      <c r="A10" s="1"/>
      <c r="B10" s="7"/>
      <c r="C10" s="6"/>
    </row>
    <row r="11" spans="1:6" x14ac:dyDescent="0.3">
      <c r="A11" s="1" t="s">
        <v>11</v>
      </c>
      <c r="B11" s="11">
        <f>954.71/B9</f>
        <v>0.10029309185645852</v>
      </c>
      <c r="C11" s="12" t="s">
        <v>3</v>
      </c>
    </row>
    <row r="12" spans="1:6" x14ac:dyDescent="0.3">
      <c r="A12" s="1" t="s">
        <v>13</v>
      </c>
      <c r="B12" s="11">
        <f>B15/B6</f>
        <v>0.28803537345718283</v>
      </c>
      <c r="C12" s="12" t="s">
        <v>3</v>
      </c>
      <c r="D12" s="20" t="s">
        <v>27</v>
      </c>
      <c r="E12" s="20"/>
    </row>
    <row r="13" spans="1:6" x14ac:dyDescent="0.3">
      <c r="A13" s="1"/>
      <c r="B13" s="8"/>
      <c r="C13" s="6"/>
      <c r="D13" s="16"/>
      <c r="E13" s="23" t="s">
        <v>25</v>
      </c>
    </row>
    <row r="14" spans="1:6" x14ac:dyDescent="0.3">
      <c r="A14" s="1" t="s">
        <v>14</v>
      </c>
      <c r="B14" s="14">
        <v>446.79</v>
      </c>
      <c r="C14" s="1" t="s">
        <v>3</v>
      </c>
      <c r="D14" s="18">
        <v>10900</v>
      </c>
      <c r="E14" s="18">
        <f>B14*D14/1000</f>
        <v>4870.0110000000004</v>
      </c>
      <c r="F14" s="15"/>
    </row>
    <row r="15" spans="1:6" x14ac:dyDescent="0.3">
      <c r="A15" s="1" t="s">
        <v>15</v>
      </c>
      <c r="B15" s="14">
        <v>2263.67</v>
      </c>
      <c r="C15" s="1" t="s">
        <v>3</v>
      </c>
      <c r="D15" s="18">
        <v>4750</v>
      </c>
      <c r="E15" s="18">
        <f t="shared" ref="E15" si="0">B15*D15/1000</f>
        <v>10752.432500000001</v>
      </c>
      <c r="F15" s="15"/>
    </row>
    <row r="16" spans="1:6" x14ac:dyDescent="0.3">
      <c r="A16" s="1" t="s">
        <v>22</v>
      </c>
      <c r="B16" s="14">
        <v>507.92</v>
      </c>
      <c r="C16" s="1" t="s">
        <v>3</v>
      </c>
      <c r="D16" s="18">
        <v>1430</v>
      </c>
      <c r="E16" s="18">
        <f>B16*D16/1000</f>
        <v>726.32560000000001</v>
      </c>
      <c r="F16" s="15"/>
    </row>
    <row r="17" spans="1:6" x14ac:dyDescent="0.3">
      <c r="A17" s="1"/>
      <c r="B17" s="1"/>
      <c r="C17" s="1"/>
      <c r="D17" s="18"/>
      <c r="E17" s="24">
        <f>SUM(E14:E16)</f>
        <v>16348.769100000001</v>
      </c>
      <c r="F17" s="15" t="s">
        <v>26</v>
      </c>
    </row>
    <row r="18" spans="1:6" x14ac:dyDescent="0.3">
      <c r="A18" s="1" t="s">
        <v>4</v>
      </c>
      <c r="B18" s="25">
        <f>50179.15+6009.16+9709+19999+9093.81+3758.8</f>
        <v>98748.92</v>
      </c>
      <c r="C18" s="1" t="s">
        <v>3</v>
      </c>
    </row>
    <row r="19" spans="1:6" x14ac:dyDescent="0.3">
      <c r="A19" s="1" t="s">
        <v>5</v>
      </c>
      <c r="B19" s="25">
        <f>159221.41+18501+29893.24+61576+27998.97+11573</f>
        <v>308763.62</v>
      </c>
      <c r="C19" s="1" t="s">
        <v>3</v>
      </c>
    </row>
    <row r="20" spans="1:6" x14ac:dyDescent="0.3">
      <c r="A20" s="1" t="s">
        <v>6</v>
      </c>
      <c r="B20" s="25">
        <f>7215.11+8384+1268.9+2790.64+1354.75+524.5</f>
        <v>21537.9</v>
      </c>
      <c r="C20" s="1" t="s">
        <v>3</v>
      </c>
    </row>
    <row r="21" spans="1:6" x14ac:dyDescent="0.3">
      <c r="A21" s="1" t="s">
        <v>16</v>
      </c>
      <c r="B21" s="25">
        <f>798.04+92.69+149.76+308.49+140.27+57.98</f>
        <v>1547.23</v>
      </c>
      <c r="C21" s="1" t="s">
        <v>3</v>
      </c>
    </row>
    <row r="22" spans="1:6" x14ac:dyDescent="0.3">
      <c r="A22" s="1" t="s">
        <v>17</v>
      </c>
      <c r="B22" s="10">
        <v>11332</v>
      </c>
      <c r="C22" s="1" t="s">
        <v>20</v>
      </c>
    </row>
    <row r="23" spans="1:6" x14ac:dyDescent="0.3">
      <c r="A23" s="1" t="s">
        <v>19</v>
      </c>
      <c r="B23" s="25">
        <f>5136</f>
        <v>5136</v>
      </c>
      <c r="C23" s="1" t="s">
        <v>3</v>
      </c>
    </row>
    <row r="24" spans="1:6" x14ac:dyDescent="0.3">
      <c r="A24" s="1" t="s">
        <v>18</v>
      </c>
      <c r="B24" s="25">
        <f>9832.19+1340.23+3242.39+2004.33+649.08+925.54</f>
        <v>17993.760000000002</v>
      </c>
      <c r="C24" s="1" t="s">
        <v>3</v>
      </c>
    </row>
    <row r="25" spans="1:6" x14ac:dyDescent="0.3">
      <c r="A25" s="1" t="s">
        <v>7</v>
      </c>
      <c r="B25" s="25">
        <f>31595.3</f>
        <v>31595.3</v>
      </c>
      <c r="C25" s="1" t="s">
        <v>3</v>
      </c>
    </row>
    <row r="27" spans="1:6" x14ac:dyDescent="0.3">
      <c r="A27" s="1" t="s">
        <v>23</v>
      </c>
      <c r="B27" s="4">
        <v>300</v>
      </c>
      <c r="C27" s="1" t="s">
        <v>24</v>
      </c>
    </row>
  </sheetData>
  <mergeCells count="1">
    <mergeCell ref="D12:E12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90" zoomScaleNormal="90" workbookViewId="0">
      <selection activeCell="B22" sqref="B22"/>
    </sheetView>
  </sheetViews>
  <sheetFormatPr defaultColWidth="11.5546875" defaultRowHeight="14.4" x14ac:dyDescent="0.3"/>
  <cols>
    <col min="1" max="1" width="36.6640625" customWidth="1"/>
    <col min="2" max="2" width="11.6640625" bestFit="1" customWidth="1"/>
    <col min="5" max="5" width="13.88671875" customWidth="1"/>
  </cols>
  <sheetData>
    <row r="1" spans="1:6" x14ac:dyDescent="0.3">
      <c r="A1" s="21" t="s">
        <v>0</v>
      </c>
    </row>
    <row r="2" spans="1:6" x14ac:dyDescent="0.3">
      <c r="A2" s="1" t="s">
        <v>1</v>
      </c>
      <c r="B2" s="2">
        <v>41275</v>
      </c>
      <c r="C2" s="1"/>
    </row>
    <row r="3" spans="1:6" x14ac:dyDescent="0.3">
      <c r="A3" s="1" t="s">
        <v>2</v>
      </c>
      <c r="B3" s="2">
        <v>41639</v>
      </c>
      <c r="C3" s="1"/>
    </row>
    <row r="4" spans="1:6" x14ac:dyDescent="0.3">
      <c r="A4" s="1"/>
      <c r="B4" s="3"/>
      <c r="C4" s="1"/>
    </row>
    <row r="5" spans="1:6" x14ac:dyDescent="0.3">
      <c r="A5" s="1" t="s">
        <v>28</v>
      </c>
      <c r="B5" s="10">
        <v>14691</v>
      </c>
      <c r="C5" s="1"/>
    </row>
    <row r="6" spans="1:6" x14ac:dyDescent="0.3">
      <c r="A6" s="1" t="s">
        <v>29</v>
      </c>
      <c r="B6" s="22">
        <v>11308</v>
      </c>
      <c r="C6" s="6"/>
    </row>
    <row r="7" spans="1:6" x14ac:dyDescent="0.3">
      <c r="A7" s="1" t="s">
        <v>30</v>
      </c>
      <c r="B7" s="22">
        <v>5021</v>
      </c>
      <c r="C7" s="6"/>
    </row>
    <row r="8" spans="1:6" x14ac:dyDescent="0.3">
      <c r="A8" s="1" t="s">
        <v>31</v>
      </c>
      <c r="B8" s="22">
        <v>9147</v>
      </c>
      <c r="C8" s="6"/>
    </row>
    <row r="9" spans="1:6" x14ac:dyDescent="0.3">
      <c r="A9" s="1" t="s">
        <v>32</v>
      </c>
      <c r="B9" s="22">
        <f>B5 - (B5*0.2)</f>
        <v>11752.8</v>
      </c>
      <c r="C9" s="6"/>
    </row>
    <row r="10" spans="1:6" x14ac:dyDescent="0.3">
      <c r="A10" s="1"/>
      <c r="B10" s="7"/>
      <c r="C10" s="6"/>
    </row>
    <row r="11" spans="1:6" x14ac:dyDescent="0.3">
      <c r="A11" s="1" t="s">
        <v>11</v>
      </c>
      <c r="B11" s="11">
        <f>(B14+B16)/B9</f>
        <v>7.2835409434347562E-2</v>
      </c>
      <c r="C11" s="12" t="s">
        <v>3</v>
      </c>
    </row>
    <row r="12" spans="1:6" x14ac:dyDescent="0.3">
      <c r="A12" s="1" t="s">
        <v>13</v>
      </c>
      <c r="B12" s="11">
        <f>B15/B6</f>
        <v>0.21679076759816057</v>
      </c>
      <c r="C12" s="12" t="s">
        <v>3</v>
      </c>
      <c r="D12" s="20" t="s">
        <v>27</v>
      </c>
      <c r="E12" s="20"/>
    </row>
    <row r="13" spans="1:6" x14ac:dyDescent="0.3">
      <c r="A13" s="1"/>
      <c r="B13" s="8"/>
      <c r="C13" s="6"/>
      <c r="D13" s="16"/>
      <c r="E13" s="23" t="s">
        <v>25</v>
      </c>
    </row>
    <row r="14" spans="1:6" x14ac:dyDescent="0.3">
      <c r="A14" s="1" t="s">
        <v>14</v>
      </c>
      <c r="B14" s="14">
        <v>302.22000000000003</v>
      </c>
      <c r="C14" s="1" t="s">
        <v>3</v>
      </c>
      <c r="D14" s="18">
        <v>10900</v>
      </c>
      <c r="E14" s="18">
        <f>B14*D14/1000</f>
        <v>3294.1980000000003</v>
      </c>
      <c r="F14" s="15"/>
    </row>
    <row r="15" spans="1:6" x14ac:dyDescent="0.3">
      <c r="A15" s="1" t="s">
        <v>15</v>
      </c>
      <c r="B15" s="14">
        <v>2451.4699999999998</v>
      </c>
      <c r="C15" s="1" t="s">
        <v>3</v>
      </c>
      <c r="D15" s="18">
        <v>4750</v>
      </c>
      <c r="E15" s="18">
        <f t="shared" ref="E15" si="0">B15*D15/1000</f>
        <v>11644.482499999998</v>
      </c>
      <c r="F15" s="15"/>
    </row>
    <row r="16" spans="1:6" x14ac:dyDescent="0.3">
      <c r="A16" s="1" t="s">
        <v>22</v>
      </c>
      <c r="B16" s="14">
        <v>553.79999999999995</v>
      </c>
      <c r="C16" s="1" t="s">
        <v>3</v>
      </c>
      <c r="D16" s="18">
        <v>1430</v>
      </c>
      <c r="E16" s="18">
        <f>B16*D16/1000</f>
        <v>791.93399999999986</v>
      </c>
      <c r="F16" s="15"/>
    </row>
    <row r="17" spans="1:6" x14ac:dyDescent="0.3">
      <c r="A17" s="1"/>
      <c r="B17" s="1"/>
      <c r="C17" s="1"/>
      <c r="D17" s="18"/>
      <c r="E17" s="24">
        <f>SUM(E14:E16)</f>
        <v>15730.614499999998</v>
      </c>
      <c r="F17" s="15" t="s">
        <v>26</v>
      </c>
    </row>
    <row r="18" spans="1:6" x14ac:dyDescent="0.3">
      <c r="A18" s="1" t="s">
        <v>4</v>
      </c>
      <c r="B18" s="25">
        <v>123814.87</v>
      </c>
      <c r="C18" s="1" t="s">
        <v>3</v>
      </c>
    </row>
    <row r="19" spans="1:6" x14ac:dyDescent="0.3">
      <c r="A19" s="1" t="s">
        <v>5</v>
      </c>
      <c r="B19" s="25">
        <v>376014.28</v>
      </c>
      <c r="C19" s="1" t="s">
        <v>3</v>
      </c>
    </row>
    <row r="20" spans="1:6" x14ac:dyDescent="0.3">
      <c r="A20" s="1" t="s">
        <v>6</v>
      </c>
      <c r="B20" s="25">
        <v>17276.28</v>
      </c>
      <c r="C20" s="1" t="s">
        <v>3</v>
      </c>
    </row>
    <row r="21" spans="1:6" x14ac:dyDescent="0.3">
      <c r="A21" s="1" t="s">
        <v>16</v>
      </c>
      <c r="B21" s="26">
        <v>3525.7</v>
      </c>
      <c r="C21" s="1" t="s">
        <v>3</v>
      </c>
    </row>
    <row r="22" spans="1:6" x14ac:dyDescent="0.3">
      <c r="A22" s="1" t="s">
        <v>17</v>
      </c>
      <c r="B22" s="10">
        <v>14168</v>
      </c>
      <c r="C22" s="1" t="s">
        <v>20</v>
      </c>
    </row>
    <row r="23" spans="1:6" x14ac:dyDescent="0.3">
      <c r="A23" s="1" t="s">
        <v>19</v>
      </c>
      <c r="B23" s="25">
        <v>14691</v>
      </c>
      <c r="C23" s="1" t="s">
        <v>3</v>
      </c>
    </row>
    <row r="24" spans="1:6" x14ac:dyDescent="0.3">
      <c r="A24" s="1" t="s">
        <v>18</v>
      </c>
      <c r="B24" s="25">
        <v>10142.02</v>
      </c>
      <c r="C24" s="1" t="s">
        <v>3</v>
      </c>
    </row>
    <row r="25" spans="1:6" x14ac:dyDescent="0.3">
      <c r="A25" s="1" t="s">
        <v>7</v>
      </c>
      <c r="B25" s="25">
        <v>26926.7</v>
      </c>
      <c r="C25" s="1" t="s">
        <v>3</v>
      </c>
    </row>
  </sheetData>
  <mergeCells count="1">
    <mergeCell ref="D12:E12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D868-CD75-46EF-84E0-8A891C28567B}">
  <dimension ref="A1:F25"/>
  <sheetViews>
    <sheetView zoomScale="90" zoomScaleNormal="90" workbookViewId="0">
      <selection activeCell="I19" sqref="I19"/>
    </sheetView>
  </sheetViews>
  <sheetFormatPr defaultColWidth="11.5546875" defaultRowHeight="14.4" x14ac:dyDescent="0.3"/>
  <cols>
    <col min="1" max="1" width="36.6640625" customWidth="1"/>
    <col min="2" max="2" width="11.6640625" bestFit="1" customWidth="1"/>
    <col min="5" max="5" width="13.88671875" customWidth="1"/>
  </cols>
  <sheetData>
    <row r="1" spans="1:6" x14ac:dyDescent="0.3">
      <c r="A1" s="21" t="s">
        <v>0</v>
      </c>
    </row>
    <row r="2" spans="1:6" x14ac:dyDescent="0.3">
      <c r="A2" s="1" t="s">
        <v>1</v>
      </c>
      <c r="B2" s="2">
        <v>41640</v>
      </c>
      <c r="C2" s="1"/>
    </row>
    <row r="3" spans="1:6" x14ac:dyDescent="0.3">
      <c r="A3" s="1" t="s">
        <v>2</v>
      </c>
      <c r="B3" s="2">
        <v>42004</v>
      </c>
      <c r="C3" s="1"/>
    </row>
    <row r="4" spans="1:6" x14ac:dyDescent="0.3">
      <c r="A4" s="1"/>
      <c r="B4" s="3"/>
      <c r="C4" s="1"/>
    </row>
    <row r="5" spans="1:6" x14ac:dyDescent="0.3">
      <c r="A5" s="1" t="s">
        <v>28</v>
      </c>
      <c r="B5" s="10">
        <v>34704</v>
      </c>
      <c r="C5" s="1"/>
    </row>
    <row r="6" spans="1:6" x14ac:dyDescent="0.3">
      <c r="A6" s="1" t="s">
        <v>29</v>
      </c>
      <c r="B6" s="22">
        <v>13597</v>
      </c>
      <c r="C6" s="6"/>
    </row>
    <row r="7" spans="1:6" x14ac:dyDescent="0.3">
      <c r="A7" s="1" t="s">
        <v>30</v>
      </c>
      <c r="B7" s="22">
        <v>13882</v>
      </c>
      <c r="C7" s="6"/>
    </row>
    <row r="8" spans="1:6" x14ac:dyDescent="0.3">
      <c r="A8" s="1" t="s">
        <v>31</v>
      </c>
      <c r="B8" s="22">
        <v>20822</v>
      </c>
      <c r="C8" s="6"/>
    </row>
    <row r="9" spans="1:6" x14ac:dyDescent="0.3">
      <c r="A9" s="1" t="s">
        <v>33</v>
      </c>
      <c r="B9" s="22">
        <v>31234</v>
      </c>
      <c r="C9" s="6"/>
    </row>
    <row r="10" spans="1:6" x14ac:dyDescent="0.3">
      <c r="A10" s="1"/>
      <c r="B10" s="7"/>
      <c r="C10" s="6"/>
    </row>
    <row r="11" spans="1:6" x14ac:dyDescent="0.3">
      <c r="A11" s="1" t="s">
        <v>11</v>
      </c>
      <c r="B11" s="11">
        <f>(B14+B16)/B9</f>
        <v>7.5554844080169048E-2</v>
      </c>
      <c r="C11" s="12" t="s">
        <v>3</v>
      </c>
    </row>
    <row r="12" spans="1:6" x14ac:dyDescent="0.3">
      <c r="A12" s="1" t="s">
        <v>13</v>
      </c>
      <c r="B12" s="11">
        <f>B15/B6</f>
        <v>0.20680002941825404</v>
      </c>
      <c r="C12" s="12" t="s">
        <v>3</v>
      </c>
      <c r="D12" s="20" t="s">
        <v>27</v>
      </c>
      <c r="E12" s="20"/>
    </row>
    <row r="13" spans="1:6" x14ac:dyDescent="0.3">
      <c r="A13" s="1"/>
      <c r="B13" s="8"/>
      <c r="C13" s="6"/>
      <c r="D13" s="16"/>
      <c r="E13" s="23" t="s">
        <v>25</v>
      </c>
    </row>
    <row r="14" spans="1:6" x14ac:dyDescent="0.3">
      <c r="A14" s="1" t="s">
        <v>14</v>
      </c>
      <c r="B14" s="14">
        <v>943.98</v>
      </c>
      <c r="C14" s="1" t="s">
        <v>3</v>
      </c>
      <c r="D14" s="18">
        <v>10900</v>
      </c>
      <c r="E14" s="18">
        <f>B14*D14/1000</f>
        <v>10289.382</v>
      </c>
      <c r="F14" s="15"/>
    </row>
    <row r="15" spans="1:6" x14ac:dyDescent="0.3">
      <c r="A15" s="1" t="s">
        <v>15</v>
      </c>
      <c r="B15" s="14">
        <v>2811.86</v>
      </c>
      <c r="C15" s="1" t="s">
        <v>3</v>
      </c>
      <c r="D15" s="18">
        <v>4750</v>
      </c>
      <c r="E15" s="18">
        <f t="shared" ref="E15" si="0">B15*D15/1000</f>
        <v>13356.334999999999</v>
      </c>
      <c r="F15" s="15"/>
    </row>
    <row r="16" spans="1:6" x14ac:dyDescent="0.3">
      <c r="A16" s="1" t="s">
        <v>22</v>
      </c>
      <c r="B16" s="14">
        <v>1415.9</v>
      </c>
      <c r="C16" s="1" t="s">
        <v>3</v>
      </c>
      <c r="D16" s="18">
        <v>1430</v>
      </c>
      <c r="E16" s="18">
        <f>B16*D16/1000</f>
        <v>2024.7370000000003</v>
      </c>
      <c r="F16" s="15"/>
    </row>
    <row r="17" spans="1:6" x14ac:dyDescent="0.3">
      <c r="A17" s="1"/>
      <c r="B17" s="1"/>
      <c r="C17" s="1"/>
      <c r="D17" s="18"/>
      <c r="E17" s="24">
        <f>SUM(E14:E16)</f>
        <v>25670.453999999998</v>
      </c>
      <c r="F17" s="15" t="s">
        <v>26</v>
      </c>
    </row>
    <row r="18" spans="1:6" x14ac:dyDescent="0.3">
      <c r="A18" s="1" t="s">
        <v>4</v>
      </c>
      <c r="B18" s="25">
        <v>294984</v>
      </c>
      <c r="C18" s="1" t="s">
        <v>3</v>
      </c>
    </row>
    <row r="19" spans="1:6" x14ac:dyDescent="0.3">
      <c r="A19" s="1" t="s">
        <v>5</v>
      </c>
      <c r="B19" s="25">
        <v>992187.36</v>
      </c>
      <c r="C19" s="1" t="s">
        <v>3</v>
      </c>
    </row>
    <row r="20" spans="1:6" x14ac:dyDescent="0.3">
      <c r="A20" s="1" t="s">
        <v>6</v>
      </c>
      <c r="B20" s="25">
        <v>38868.480000000003</v>
      </c>
      <c r="C20" s="1" t="s">
        <v>3</v>
      </c>
    </row>
    <row r="21" spans="1:6" x14ac:dyDescent="0.3">
      <c r="A21" s="1" t="s">
        <v>16</v>
      </c>
      <c r="B21" s="26">
        <v>7947.21</v>
      </c>
      <c r="C21" s="1" t="s">
        <v>3</v>
      </c>
    </row>
    <row r="22" spans="1:6" x14ac:dyDescent="0.3">
      <c r="A22" s="1" t="s">
        <v>17</v>
      </c>
      <c r="B22" s="10">
        <v>33662</v>
      </c>
      <c r="C22" s="1" t="s">
        <v>20</v>
      </c>
    </row>
    <row r="23" spans="1:6" x14ac:dyDescent="0.3">
      <c r="A23" s="1" t="s">
        <v>19</v>
      </c>
      <c r="B23" s="25">
        <v>34704</v>
      </c>
      <c r="C23" s="1" t="s">
        <v>3</v>
      </c>
    </row>
    <row r="24" spans="1:6" x14ac:dyDescent="0.3">
      <c r="A24" s="1" t="s">
        <v>18</v>
      </c>
      <c r="B24" s="25">
        <v>63321</v>
      </c>
      <c r="C24" s="1" t="s">
        <v>3</v>
      </c>
    </row>
    <row r="25" spans="1:6" x14ac:dyDescent="0.3">
      <c r="A25" s="1" t="s">
        <v>7</v>
      </c>
      <c r="B25" s="25">
        <v>32360.87</v>
      </c>
      <c r="C25" s="1" t="s">
        <v>3</v>
      </c>
    </row>
  </sheetData>
  <mergeCells count="1">
    <mergeCell ref="D12:E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783B-3586-4D53-A659-F3FDA2A13AB7}">
  <dimension ref="A1:F26"/>
  <sheetViews>
    <sheetView zoomScale="90" zoomScaleNormal="90" workbookViewId="0">
      <selection activeCell="E23" sqref="E23"/>
    </sheetView>
  </sheetViews>
  <sheetFormatPr defaultColWidth="11.5546875" defaultRowHeight="14.4" x14ac:dyDescent="0.3"/>
  <cols>
    <col min="1" max="1" width="36.6640625" customWidth="1"/>
    <col min="2" max="2" width="11.6640625" bestFit="1" customWidth="1"/>
    <col min="5" max="5" width="13.88671875" customWidth="1"/>
  </cols>
  <sheetData>
    <row r="1" spans="1:6" x14ac:dyDescent="0.3">
      <c r="A1" s="21" t="s">
        <v>0</v>
      </c>
    </row>
    <row r="2" spans="1:6" x14ac:dyDescent="0.3">
      <c r="A2" s="1" t="s">
        <v>1</v>
      </c>
      <c r="B2" s="2">
        <v>42005</v>
      </c>
      <c r="C2" s="1"/>
    </row>
    <row r="3" spans="1:6" x14ac:dyDescent="0.3">
      <c r="A3" s="1" t="s">
        <v>2</v>
      </c>
      <c r="B3" s="2">
        <v>42369</v>
      </c>
      <c r="C3" s="1"/>
    </row>
    <row r="4" spans="1:6" x14ac:dyDescent="0.3">
      <c r="A4" s="1"/>
      <c r="B4" s="3"/>
      <c r="C4" s="1"/>
    </row>
    <row r="5" spans="1:6" x14ac:dyDescent="0.3">
      <c r="A5" s="1"/>
      <c r="B5" s="3" t="s">
        <v>34</v>
      </c>
      <c r="C5" s="1" t="s">
        <v>35</v>
      </c>
    </row>
    <row r="6" spans="1:6" x14ac:dyDescent="0.3">
      <c r="A6" s="1" t="s">
        <v>28</v>
      </c>
      <c r="B6" s="10">
        <v>23536</v>
      </c>
      <c r="C6" s="1"/>
    </row>
    <row r="7" spans="1:6" x14ac:dyDescent="0.3">
      <c r="A7" s="1" t="s">
        <v>29</v>
      </c>
      <c r="B7" s="22"/>
      <c r="C7" s="27">
        <v>11397</v>
      </c>
    </row>
    <row r="8" spans="1:6" x14ac:dyDescent="0.3">
      <c r="A8" s="1" t="s">
        <v>30</v>
      </c>
      <c r="B8" s="22">
        <v>14033</v>
      </c>
      <c r="C8" s="6"/>
    </row>
    <row r="9" spans="1:6" x14ac:dyDescent="0.3">
      <c r="A9" s="1" t="s">
        <v>31</v>
      </c>
      <c r="B9" s="22">
        <v>9503</v>
      </c>
      <c r="C9" s="6"/>
    </row>
    <row r="10" spans="1:6" x14ac:dyDescent="0.3">
      <c r="A10" s="1" t="s">
        <v>36</v>
      </c>
      <c r="B10" s="22">
        <v>20942</v>
      </c>
      <c r="C10" s="6"/>
    </row>
    <row r="11" spans="1:6" x14ac:dyDescent="0.3">
      <c r="A11" s="1"/>
      <c r="B11" s="7"/>
      <c r="C11" s="6"/>
    </row>
    <row r="12" spans="1:6" x14ac:dyDescent="0.3">
      <c r="A12" s="1" t="s">
        <v>11</v>
      </c>
      <c r="B12" s="11">
        <f>(B15+B17)/B10</f>
        <v>1.8240855696686084E-2</v>
      </c>
      <c r="C12" s="12" t="s">
        <v>3</v>
      </c>
    </row>
    <row r="13" spans="1:6" x14ac:dyDescent="0.3">
      <c r="A13" s="1" t="s">
        <v>13</v>
      </c>
      <c r="B13" s="11">
        <f>B16/C7</f>
        <v>0.14881109063788717</v>
      </c>
      <c r="C13" s="12" t="s">
        <v>3</v>
      </c>
      <c r="D13" s="20" t="s">
        <v>27</v>
      </c>
      <c r="E13" s="20"/>
    </row>
    <row r="14" spans="1:6" x14ac:dyDescent="0.3">
      <c r="A14" s="1"/>
      <c r="B14" s="8"/>
      <c r="C14" s="6"/>
      <c r="D14" s="16"/>
      <c r="E14" s="23" t="s">
        <v>25</v>
      </c>
    </row>
    <row r="15" spans="1:6" x14ac:dyDescent="0.3">
      <c r="A15" s="1" t="s">
        <v>14</v>
      </c>
      <c r="B15" s="14">
        <v>229.92</v>
      </c>
      <c r="C15" s="1" t="s">
        <v>3</v>
      </c>
      <c r="D15" s="18">
        <v>10900</v>
      </c>
      <c r="E15" s="18">
        <f>B15*D15/1000</f>
        <v>2506.1280000000002</v>
      </c>
      <c r="F15" s="15"/>
    </row>
    <row r="16" spans="1:6" x14ac:dyDescent="0.3">
      <c r="A16" s="1" t="s">
        <v>15</v>
      </c>
      <c r="B16" s="14">
        <v>1696</v>
      </c>
      <c r="C16" s="1" t="s">
        <v>3</v>
      </c>
      <c r="D16" s="18">
        <v>4750</v>
      </c>
      <c r="E16" s="18">
        <f t="shared" ref="E16" si="0">B16*D16/1000</f>
        <v>8056</v>
      </c>
      <c r="F16" s="15"/>
    </row>
    <row r="17" spans="1:6" x14ac:dyDescent="0.3">
      <c r="A17" s="1" t="s">
        <v>22</v>
      </c>
      <c r="B17" s="14">
        <v>152.08000000000001</v>
      </c>
      <c r="C17" s="1" t="s">
        <v>3</v>
      </c>
      <c r="D17" s="18">
        <v>1430</v>
      </c>
      <c r="E17" s="18">
        <f>B17*D17/1000</f>
        <v>217.47440000000003</v>
      </c>
      <c r="F17" s="15"/>
    </row>
    <row r="18" spans="1:6" x14ac:dyDescent="0.3">
      <c r="A18" s="1"/>
      <c r="B18" s="1"/>
      <c r="C18" s="1"/>
      <c r="D18" s="18"/>
      <c r="E18" s="24">
        <f>SUM(E15:E17)</f>
        <v>10779.6024</v>
      </c>
      <c r="F18" s="15" t="s">
        <v>26</v>
      </c>
    </row>
    <row r="19" spans="1:6" x14ac:dyDescent="0.3">
      <c r="A19" s="1" t="s">
        <v>4</v>
      </c>
      <c r="B19" s="25">
        <v>173330</v>
      </c>
      <c r="C19" s="1" t="s">
        <v>3</v>
      </c>
    </row>
    <row r="20" spans="1:6" x14ac:dyDescent="0.3">
      <c r="A20" s="1" t="s">
        <v>5</v>
      </c>
      <c r="B20" s="25">
        <v>644985</v>
      </c>
      <c r="C20" s="1" t="s">
        <v>3</v>
      </c>
    </row>
    <row r="21" spans="1:6" x14ac:dyDescent="0.3">
      <c r="A21" s="1" t="s">
        <v>6</v>
      </c>
      <c r="B21" s="25">
        <v>34504</v>
      </c>
      <c r="C21" s="1" t="s">
        <v>3</v>
      </c>
    </row>
    <row r="22" spans="1:6" x14ac:dyDescent="0.3">
      <c r="A22" s="1" t="s">
        <v>16</v>
      </c>
      <c r="B22" s="26">
        <v>5413</v>
      </c>
      <c r="C22" s="1" t="s">
        <v>3</v>
      </c>
    </row>
    <row r="23" spans="1:6" x14ac:dyDescent="0.3">
      <c r="A23" s="1" t="s">
        <v>17</v>
      </c>
      <c r="B23" s="10">
        <v>22671</v>
      </c>
      <c r="C23" s="1" t="s">
        <v>20</v>
      </c>
    </row>
    <row r="24" spans="1:6" x14ac:dyDescent="0.3">
      <c r="A24" s="1" t="s">
        <v>19</v>
      </c>
      <c r="B24" s="25">
        <v>23536</v>
      </c>
      <c r="C24" s="1" t="s">
        <v>3</v>
      </c>
    </row>
    <row r="25" spans="1:6" x14ac:dyDescent="0.3">
      <c r="A25" s="1" t="s">
        <v>18</v>
      </c>
      <c r="B25" s="25">
        <v>42944</v>
      </c>
      <c r="C25" s="1" t="s">
        <v>3</v>
      </c>
    </row>
    <row r="26" spans="1:6" x14ac:dyDescent="0.3">
      <c r="A26" s="1" t="s">
        <v>7</v>
      </c>
      <c r="B26" s="25">
        <v>21947</v>
      </c>
      <c r="C26" s="1" t="s">
        <v>3</v>
      </c>
    </row>
  </sheetData>
  <mergeCells count="1">
    <mergeCell ref="D13:E1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03A6-AE0A-458D-997E-FFC9625B0629}">
  <dimension ref="A1:I27"/>
  <sheetViews>
    <sheetView zoomScale="90" zoomScaleNormal="90" workbookViewId="0">
      <selection activeCell="E28" sqref="E28"/>
    </sheetView>
  </sheetViews>
  <sheetFormatPr defaultColWidth="11.5546875" defaultRowHeight="14.4" x14ac:dyDescent="0.3"/>
  <cols>
    <col min="1" max="1" width="36.6640625" customWidth="1"/>
    <col min="2" max="2" width="11.6640625" bestFit="1" customWidth="1"/>
    <col min="5" max="5" width="13.88671875" customWidth="1"/>
    <col min="6" max="6" width="14.6640625" customWidth="1"/>
    <col min="8" max="8" width="22.6640625" customWidth="1"/>
    <col min="9" max="9" width="34.6640625" customWidth="1"/>
  </cols>
  <sheetData>
    <row r="1" spans="1:9" x14ac:dyDescent="0.3">
      <c r="A1" s="21" t="s">
        <v>0</v>
      </c>
    </row>
    <row r="2" spans="1:9" x14ac:dyDescent="0.3">
      <c r="A2" s="1" t="s">
        <v>1</v>
      </c>
      <c r="B2" s="2">
        <v>42370</v>
      </c>
      <c r="C2" s="1"/>
    </row>
    <row r="3" spans="1:9" x14ac:dyDescent="0.3">
      <c r="A3" s="1" t="s">
        <v>2</v>
      </c>
      <c r="B3" s="2">
        <v>42735</v>
      </c>
      <c r="C3" s="1"/>
    </row>
    <row r="4" spans="1:9" x14ac:dyDescent="0.3">
      <c r="A4" s="1"/>
      <c r="B4" s="3"/>
      <c r="C4" s="1"/>
      <c r="I4" s="28"/>
    </row>
    <row r="5" spans="1:9" x14ac:dyDescent="0.3">
      <c r="A5" s="1"/>
      <c r="B5" s="3" t="s">
        <v>34</v>
      </c>
      <c r="C5" s="1" t="s">
        <v>35</v>
      </c>
      <c r="I5" s="28"/>
    </row>
    <row r="6" spans="1:9" x14ac:dyDescent="0.3">
      <c r="A6" s="1" t="s">
        <v>28</v>
      </c>
      <c r="B6" s="10">
        <v>21795</v>
      </c>
      <c r="C6" s="1"/>
      <c r="I6" s="28"/>
    </row>
    <row r="7" spans="1:9" x14ac:dyDescent="0.3">
      <c r="A7" s="1" t="s">
        <v>29</v>
      </c>
      <c r="B7" s="22">
        <v>18576</v>
      </c>
      <c r="C7" s="27"/>
      <c r="I7" s="28"/>
    </row>
    <row r="8" spans="1:9" x14ac:dyDescent="0.3">
      <c r="A8" s="1" t="s">
        <v>30</v>
      </c>
      <c r="B8" s="22">
        <v>8064</v>
      </c>
      <c r="C8" s="6"/>
      <c r="I8" s="28"/>
    </row>
    <row r="9" spans="1:9" x14ac:dyDescent="0.3">
      <c r="A9" s="1" t="s">
        <v>31</v>
      </c>
      <c r="B9" s="22">
        <v>13513</v>
      </c>
      <c r="C9" s="6"/>
      <c r="I9" s="28"/>
    </row>
    <row r="10" spans="1:9" x14ac:dyDescent="0.3">
      <c r="A10" s="1" t="s">
        <v>37</v>
      </c>
      <c r="B10" s="22">
        <v>217</v>
      </c>
      <c r="C10" s="6"/>
      <c r="I10" s="28"/>
    </row>
    <row r="11" spans="1:9" x14ac:dyDescent="0.3">
      <c r="A11" s="1" t="s">
        <v>38</v>
      </c>
      <c r="B11" s="22">
        <v>20657</v>
      </c>
      <c r="C11" s="6"/>
    </row>
    <row r="12" spans="1:9" x14ac:dyDescent="0.3">
      <c r="A12" s="1"/>
      <c r="B12" s="7"/>
      <c r="C12" s="6"/>
    </row>
    <row r="13" spans="1:9" x14ac:dyDescent="0.3">
      <c r="A13" s="1" t="s">
        <v>11</v>
      </c>
      <c r="B13" s="11">
        <f>(B16+B18)/B11</f>
        <v>7.5222442755482399E-2</v>
      </c>
      <c r="C13" s="12" t="s">
        <v>39</v>
      </c>
    </row>
    <row r="14" spans="1:9" x14ac:dyDescent="0.3">
      <c r="A14" s="1" t="s">
        <v>13</v>
      </c>
      <c r="B14" s="11">
        <f>B17/B7</f>
        <v>0.17779984926787251</v>
      </c>
      <c r="C14" s="12" t="s">
        <v>39</v>
      </c>
      <c r="D14" s="20" t="s">
        <v>27</v>
      </c>
      <c r="E14" s="20"/>
    </row>
    <row r="15" spans="1:9" x14ac:dyDescent="0.3">
      <c r="A15" s="1"/>
      <c r="B15" s="8"/>
      <c r="C15" s="6"/>
      <c r="D15" s="16"/>
      <c r="E15" s="23" t="s">
        <v>25</v>
      </c>
    </row>
    <row r="16" spans="1:9" x14ac:dyDescent="0.3">
      <c r="A16" s="1" t="s">
        <v>14</v>
      </c>
      <c r="B16" s="14">
        <v>630.4</v>
      </c>
      <c r="C16" s="1" t="s">
        <v>3</v>
      </c>
      <c r="D16" s="18">
        <v>10900</v>
      </c>
      <c r="E16" s="18">
        <f>B16*D16/1000</f>
        <v>6871.36</v>
      </c>
      <c r="F16" s="15"/>
    </row>
    <row r="17" spans="1:7" x14ac:dyDescent="0.3">
      <c r="A17" s="1" t="s">
        <v>15</v>
      </c>
      <c r="B17" s="14">
        <v>3302.81</v>
      </c>
      <c r="C17" s="1" t="s">
        <v>3</v>
      </c>
      <c r="D17" s="18">
        <v>4750</v>
      </c>
      <c r="E17" s="18">
        <f t="shared" ref="E17:E18" si="0">B17*D17/1000</f>
        <v>15688.3475</v>
      </c>
      <c r="F17" s="15"/>
    </row>
    <row r="18" spans="1:7" x14ac:dyDescent="0.3">
      <c r="A18" s="1" t="s">
        <v>22</v>
      </c>
      <c r="B18" s="14">
        <v>923.47</v>
      </c>
      <c r="C18" s="1" t="s">
        <v>3</v>
      </c>
      <c r="D18" s="18">
        <v>1430</v>
      </c>
      <c r="E18" s="18">
        <f t="shared" si="0"/>
        <v>1320.5621000000001</v>
      </c>
      <c r="F18" s="15"/>
    </row>
    <row r="19" spans="1:7" x14ac:dyDescent="0.3">
      <c r="A19" s="1"/>
      <c r="B19" s="1"/>
      <c r="C19" s="1"/>
      <c r="D19" s="29"/>
      <c r="E19" s="24">
        <f>SUM(E16:E18)</f>
        <v>23880.2696</v>
      </c>
      <c r="F19" s="15"/>
    </row>
    <row r="20" spans="1:7" x14ac:dyDescent="0.3">
      <c r="A20" s="1" t="s">
        <v>4</v>
      </c>
      <c r="B20" s="30">
        <v>162420</v>
      </c>
      <c r="C20" s="1" t="s">
        <v>3</v>
      </c>
      <c r="F20" s="28"/>
      <c r="G20" s="28"/>
    </row>
    <row r="21" spans="1:7" x14ac:dyDescent="0.3">
      <c r="A21" s="1" t="s">
        <v>5</v>
      </c>
      <c r="B21" s="30">
        <v>579239</v>
      </c>
      <c r="C21" s="1" t="s">
        <v>3</v>
      </c>
      <c r="F21" s="28"/>
      <c r="G21" s="28"/>
    </row>
    <row r="22" spans="1:7" x14ac:dyDescent="0.3">
      <c r="A22" s="1" t="s">
        <v>6</v>
      </c>
      <c r="B22" s="30">
        <v>31334</v>
      </c>
      <c r="C22" s="1" t="s">
        <v>3</v>
      </c>
      <c r="F22" s="28"/>
      <c r="G22" s="28"/>
    </row>
    <row r="23" spans="1:7" x14ac:dyDescent="0.3">
      <c r="A23" s="1" t="s">
        <v>16</v>
      </c>
      <c r="B23" s="30">
        <v>4940</v>
      </c>
      <c r="C23" s="1" t="s">
        <v>3</v>
      </c>
      <c r="F23" s="28"/>
      <c r="G23" s="28"/>
    </row>
    <row r="24" spans="1:7" x14ac:dyDescent="0.3">
      <c r="A24" s="1" t="s">
        <v>17</v>
      </c>
      <c r="B24" s="10">
        <v>21597</v>
      </c>
      <c r="C24" s="1" t="s">
        <v>20</v>
      </c>
      <c r="F24" s="28"/>
    </row>
    <row r="25" spans="1:7" x14ac:dyDescent="0.3">
      <c r="A25" s="1" t="s">
        <v>19</v>
      </c>
      <c r="B25" s="30">
        <v>21632.62</v>
      </c>
      <c r="C25" s="1" t="s">
        <v>3</v>
      </c>
      <c r="F25" s="28"/>
    </row>
    <row r="26" spans="1:7" x14ac:dyDescent="0.3">
      <c r="A26" s="1" t="s">
        <v>18</v>
      </c>
      <c r="B26" s="30">
        <v>2989</v>
      </c>
      <c r="C26" s="1" t="s">
        <v>3</v>
      </c>
      <c r="F26" s="28"/>
    </row>
    <row r="27" spans="1:7" x14ac:dyDescent="0.3">
      <c r="A27" s="1" t="s">
        <v>7</v>
      </c>
      <c r="B27" s="30">
        <v>30188</v>
      </c>
      <c r="C27" s="1" t="s">
        <v>3</v>
      </c>
      <c r="F27" s="28"/>
    </row>
  </sheetData>
  <mergeCells count="1">
    <mergeCell ref="D14:E1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D4D1-D9C0-42BE-8507-F8DB43728C50}">
  <dimension ref="A1:I27"/>
  <sheetViews>
    <sheetView zoomScale="90" zoomScaleNormal="90" workbookViewId="0">
      <selection activeCell="E25" sqref="E25"/>
    </sheetView>
  </sheetViews>
  <sheetFormatPr defaultColWidth="11.44140625" defaultRowHeight="14.4" x14ac:dyDescent="0.3"/>
  <cols>
    <col min="1" max="1" width="36.6640625" customWidth="1"/>
    <col min="2" max="2" width="11.6640625" bestFit="1" customWidth="1"/>
    <col min="5" max="5" width="13.88671875" customWidth="1"/>
    <col min="6" max="6" width="14.6640625" customWidth="1"/>
    <col min="8" max="8" width="22.6640625" customWidth="1"/>
    <col min="9" max="9" width="34.6640625" customWidth="1"/>
  </cols>
  <sheetData>
    <row r="1" spans="1:9" x14ac:dyDescent="0.3">
      <c r="A1" s="21" t="s">
        <v>0</v>
      </c>
    </row>
    <row r="2" spans="1:9" x14ac:dyDescent="0.3">
      <c r="A2" s="1" t="s">
        <v>1</v>
      </c>
      <c r="B2" s="2">
        <v>42736</v>
      </c>
      <c r="C2" s="1"/>
    </row>
    <row r="3" spans="1:9" x14ac:dyDescent="0.3">
      <c r="A3" s="1" t="s">
        <v>2</v>
      </c>
      <c r="B3" s="2">
        <v>43100</v>
      </c>
      <c r="C3" s="1"/>
    </row>
    <row r="4" spans="1:9" x14ac:dyDescent="0.3">
      <c r="A4" s="1"/>
      <c r="B4" s="3"/>
      <c r="C4" s="1"/>
      <c r="I4" s="28"/>
    </row>
    <row r="5" spans="1:9" x14ac:dyDescent="0.3">
      <c r="A5" s="1"/>
      <c r="B5" s="3" t="s">
        <v>34</v>
      </c>
      <c r="C5" s="1" t="s">
        <v>35</v>
      </c>
      <c r="I5" s="28"/>
    </row>
    <row r="6" spans="1:9" x14ac:dyDescent="0.3">
      <c r="A6" s="1" t="s">
        <v>28</v>
      </c>
      <c r="B6" s="10">
        <v>29677</v>
      </c>
      <c r="C6" s="1"/>
      <c r="I6" s="28"/>
    </row>
    <row r="7" spans="1:9" x14ac:dyDescent="0.3">
      <c r="A7" s="1" t="s">
        <v>29</v>
      </c>
      <c r="B7" s="22">
        <v>22626</v>
      </c>
      <c r="C7" s="27"/>
      <c r="I7" s="28"/>
    </row>
    <row r="8" spans="1:9" x14ac:dyDescent="0.3">
      <c r="A8" s="1" t="s">
        <v>30</v>
      </c>
      <c r="B8" s="22">
        <v>10645</v>
      </c>
      <c r="C8" s="6"/>
      <c r="I8" s="28"/>
    </row>
    <row r="9" spans="1:9" x14ac:dyDescent="0.3">
      <c r="A9" s="1" t="s">
        <v>31</v>
      </c>
      <c r="B9" s="22">
        <v>18553</v>
      </c>
      <c r="C9" s="6"/>
      <c r="I9" s="28"/>
    </row>
    <row r="10" spans="1:9" x14ac:dyDescent="0.3">
      <c r="A10" s="1" t="s">
        <v>37</v>
      </c>
      <c r="B10" s="22">
        <v>479</v>
      </c>
      <c r="C10" s="6"/>
      <c r="I10" s="28"/>
    </row>
    <row r="11" spans="1:9" x14ac:dyDescent="0.3">
      <c r="A11" s="1" t="s">
        <v>40</v>
      </c>
      <c r="B11" s="22">
        <v>28732</v>
      </c>
      <c r="C11" s="6"/>
    </row>
    <row r="12" spans="1:9" x14ac:dyDescent="0.3">
      <c r="A12" s="1"/>
      <c r="B12" s="7"/>
      <c r="C12" s="6"/>
    </row>
    <row r="13" spans="1:9" x14ac:dyDescent="0.3">
      <c r="A13" s="1" t="s">
        <v>11</v>
      </c>
      <c r="B13" s="11">
        <f>(B16+B18)/B11</f>
        <v>7.1061186133927326E-2</v>
      </c>
      <c r="C13" s="12" t="s">
        <v>39</v>
      </c>
    </row>
    <row r="14" spans="1:9" x14ac:dyDescent="0.3">
      <c r="A14" s="1" t="s">
        <v>13</v>
      </c>
      <c r="B14" s="11">
        <f>B17/B7</f>
        <v>0.19058826129231857</v>
      </c>
      <c r="C14" s="12" t="s">
        <v>39</v>
      </c>
      <c r="D14" s="20" t="s">
        <v>27</v>
      </c>
      <c r="E14" s="20"/>
    </row>
    <row r="15" spans="1:9" x14ac:dyDescent="0.3">
      <c r="A15" s="1"/>
      <c r="B15" s="8"/>
      <c r="C15" s="6"/>
      <c r="D15" s="16"/>
      <c r="E15" s="23" t="s">
        <v>25</v>
      </c>
    </row>
    <row r="16" spans="1:9" x14ac:dyDescent="0.3">
      <c r="A16" s="1" t="s">
        <v>14</v>
      </c>
      <c r="B16" s="14">
        <v>762.83</v>
      </c>
      <c r="C16" s="1" t="s">
        <v>3</v>
      </c>
      <c r="D16" s="18">
        <v>10900</v>
      </c>
      <c r="E16" s="18">
        <f>B16*D16/1000</f>
        <v>8314.8469999999998</v>
      </c>
    </row>
    <row r="17" spans="1:5" x14ac:dyDescent="0.3">
      <c r="A17" s="1" t="s">
        <v>15</v>
      </c>
      <c r="B17" s="14">
        <v>4312.25</v>
      </c>
      <c r="C17" s="1" t="s">
        <v>3</v>
      </c>
      <c r="D17" s="18">
        <v>4750</v>
      </c>
      <c r="E17" s="18">
        <f t="shared" ref="E17:E18" si="0">B17*D17/1000</f>
        <v>20483.1875</v>
      </c>
    </row>
    <row r="18" spans="1:5" x14ac:dyDescent="0.3">
      <c r="A18" s="1" t="s">
        <v>22</v>
      </c>
      <c r="B18" s="14">
        <v>1278.9000000000001</v>
      </c>
      <c r="C18" s="1" t="s">
        <v>3</v>
      </c>
      <c r="D18" s="18">
        <v>1430</v>
      </c>
      <c r="E18" s="18">
        <f t="shared" si="0"/>
        <v>1828.8270000000002</v>
      </c>
    </row>
    <row r="19" spans="1:5" x14ac:dyDescent="0.3">
      <c r="A19" s="1"/>
      <c r="B19" s="1"/>
      <c r="C19" s="1"/>
      <c r="D19" s="29"/>
      <c r="E19" s="24">
        <f>SUM(E16:E18)</f>
        <v>30626.861500000003</v>
      </c>
    </row>
    <row r="20" spans="1:5" x14ac:dyDescent="0.3">
      <c r="A20" s="1" t="s">
        <v>4</v>
      </c>
      <c r="B20" s="31">
        <v>222050</v>
      </c>
      <c r="C20" s="1" t="s">
        <v>3</v>
      </c>
    </row>
    <row r="21" spans="1:5" x14ac:dyDescent="0.3">
      <c r="A21" s="1" t="s">
        <v>5</v>
      </c>
      <c r="B21" s="31">
        <v>786136</v>
      </c>
      <c r="C21" s="1" t="s">
        <v>3</v>
      </c>
    </row>
    <row r="22" spans="1:5" x14ac:dyDescent="0.3">
      <c r="A22" s="1" t="s">
        <v>6</v>
      </c>
      <c r="B22" s="31">
        <v>42762</v>
      </c>
      <c r="C22" s="1" t="s">
        <v>3</v>
      </c>
    </row>
    <row r="23" spans="1:5" x14ac:dyDescent="0.3">
      <c r="A23" s="1" t="s">
        <v>16</v>
      </c>
      <c r="B23" s="31">
        <v>6904</v>
      </c>
      <c r="C23" s="1" t="s">
        <v>3</v>
      </c>
    </row>
    <row r="24" spans="1:5" x14ac:dyDescent="0.3">
      <c r="A24" s="1" t="s">
        <v>17</v>
      </c>
      <c r="B24" s="10">
        <v>29438</v>
      </c>
      <c r="C24" s="1" t="s">
        <v>20</v>
      </c>
    </row>
    <row r="25" spans="1:5" x14ac:dyDescent="0.3">
      <c r="A25" s="1" t="s">
        <v>19</v>
      </c>
      <c r="B25" s="31">
        <v>29588</v>
      </c>
      <c r="C25" s="1" t="s">
        <v>3</v>
      </c>
    </row>
    <row r="26" spans="1:5" x14ac:dyDescent="0.3">
      <c r="A26" s="1" t="s">
        <v>18</v>
      </c>
      <c r="B26" s="31">
        <v>6125</v>
      </c>
      <c r="C26" s="1" t="s">
        <v>3</v>
      </c>
    </row>
    <row r="27" spans="1:5" x14ac:dyDescent="0.3">
      <c r="A27" s="1" t="s">
        <v>7</v>
      </c>
      <c r="B27" s="31">
        <v>37612</v>
      </c>
      <c r="C27" s="1" t="s">
        <v>3</v>
      </c>
    </row>
  </sheetData>
  <mergeCells count="1">
    <mergeCell ref="D14:E1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6BC8-E10A-431C-986A-F856A68D1AE1}">
  <dimension ref="A1:E29"/>
  <sheetViews>
    <sheetView zoomScale="90" zoomScaleNormal="90" workbookViewId="0">
      <selection activeCell="L19" sqref="L19"/>
    </sheetView>
  </sheetViews>
  <sheetFormatPr defaultColWidth="8.77734375" defaultRowHeight="14.4" x14ac:dyDescent="0.3"/>
  <cols>
    <col min="1" max="1" width="34.21875" customWidth="1"/>
    <col min="2" max="4" width="14.21875" customWidth="1"/>
  </cols>
  <sheetData>
    <row r="1" spans="1:5" x14ac:dyDescent="0.3">
      <c r="A1" s="32" t="s">
        <v>0</v>
      </c>
    </row>
    <row r="2" spans="1:5" x14ac:dyDescent="0.3">
      <c r="A2" s="33" t="s">
        <v>1</v>
      </c>
      <c r="B2" s="34">
        <v>43102</v>
      </c>
      <c r="C2" s="33"/>
    </row>
    <row r="3" spans="1:5" x14ac:dyDescent="0.3">
      <c r="A3" s="33" t="s">
        <v>2</v>
      </c>
      <c r="B3" s="34">
        <v>43465</v>
      </c>
      <c r="C3" s="33"/>
    </row>
    <row r="4" spans="1:5" x14ac:dyDescent="0.3">
      <c r="A4" s="33"/>
      <c r="B4" s="35"/>
      <c r="C4" s="33"/>
    </row>
    <row r="5" spans="1:5" x14ac:dyDescent="0.3">
      <c r="A5" s="33"/>
      <c r="B5" s="35" t="s">
        <v>34</v>
      </c>
      <c r="C5" s="33" t="s">
        <v>35</v>
      </c>
      <c r="D5" s="33" t="s">
        <v>18</v>
      </c>
    </row>
    <row r="6" spans="1:5" x14ac:dyDescent="0.3">
      <c r="A6" s="33" t="s">
        <v>28</v>
      </c>
      <c r="B6" s="36">
        <v>39289</v>
      </c>
      <c r="C6" s="33">
        <v>32435</v>
      </c>
      <c r="D6">
        <v>7526</v>
      </c>
    </row>
    <row r="7" spans="1:5" x14ac:dyDescent="0.3">
      <c r="A7" s="33" t="s">
        <v>29</v>
      </c>
      <c r="B7" s="37"/>
      <c r="C7" s="38">
        <v>32435</v>
      </c>
    </row>
    <row r="8" spans="1:5" x14ac:dyDescent="0.3">
      <c r="A8" s="33" t="s">
        <v>30</v>
      </c>
      <c r="B8" s="38">
        <v>7653</v>
      </c>
      <c r="C8" s="39"/>
    </row>
    <row r="9" spans="1:5" x14ac:dyDescent="0.3">
      <c r="A9" s="33" t="s">
        <v>31</v>
      </c>
      <c r="B9" s="38">
        <v>22482</v>
      </c>
      <c r="C9" s="39"/>
      <c r="D9" s="15"/>
    </row>
    <row r="10" spans="1:5" x14ac:dyDescent="0.3">
      <c r="A10" s="33" t="s">
        <v>37</v>
      </c>
      <c r="B10" s="38">
        <v>657</v>
      </c>
      <c r="C10" s="39"/>
    </row>
    <row r="11" spans="1:5" x14ac:dyDescent="0.3">
      <c r="A11" s="33" t="s">
        <v>41</v>
      </c>
      <c r="B11" s="38">
        <v>8497</v>
      </c>
      <c r="C11" s="39"/>
    </row>
    <row r="12" spans="1:5" x14ac:dyDescent="0.3">
      <c r="A12" s="33" t="s">
        <v>42</v>
      </c>
      <c r="B12" s="38">
        <v>7733</v>
      </c>
      <c r="C12" s="39"/>
    </row>
    <row r="13" spans="1:5" x14ac:dyDescent="0.3">
      <c r="A13" s="33" t="s">
        <v>40</v>
      </c>
      <c r="B13" s="38">
        <v>31556</v>
      </c>
      <c r="C13" s="39"/>
    </row>
    <row r="14" spans="1:5" x14ac:dyDescent="0.3">
      <c r="A14" s="33"/>
      <c r="B14" s="40"/>
      <c r="C14" s="39"/>
    </row>
    <row r="15" spans="1:5" x14ac:dyDescent="0.3">
      <c r="A15" s="33" t="s">
        <v>11</v>
      </c>
      <c r="B15" s="41">
        <f>B18/B8</f>
        <v>4.1513190642110502E-2</v>
      </c>
      <c r="C15" s="42" t="s">
        <v>39</v>
      </c>
    </row>
    <row r="16" spans="1:5" x14ac:dyDescent="0.3">
      <c r="A16" s="33" t="s">
        <v>13</v>
      </c>
      <c r="B16" s="41">
        <f>B19/B9</f>
        <v>4.3799484031669784E-2</v>
      </c>
      <c r="C16" s="42" t="s">
        <v>39</v>
      </c>
      <c r="D16" s="43" t="s">
        <v>27</v>
      </c>
      <c r="E16" s="43"/>
    </row>
    <row r="17" spans="1:5" x14ac:dyDescent="0.3">
      <c r="A17" s="33"/>
      <c r="B17" s="44"/>
      <c r="C17" s="39"/>
      <c r="D17" s="45"/>
      <c r="E17" s="46" t="s">
        <v>25</v>
      </c>
    </row>
    <row r="18" spans="1:5" x14ac:dyDescent="0.3">
      <c r="A18" s="33" t="s">
        <v>14</v>
      </c>
      <c r="B18" s="38">
        <v>317.70044798407167</v>
      </c>
      <c r="C18" s="33" t="s">
        <v>3</v>
      </c>
      <c r="D18" s="18">
        <v>10900</v>
      </c>
      <c r="E18" s="18">
        <f>B18*D18/1000</f>
        <v>3462.9348830263812</v>
      </c>
    </row>
    <row r="19" spans="1:5" x14ac:dyDescent="0.3">
      <c r="A19" s="33" t="s">
        <v>15</v>
      </c>
      <c r="B19" s="38">
        <v>984.7</v>
      </c>
      <c r="C19" s="33" t="s">
        <v>3</v>
      </c>
      <c r="D19" s="18">
        <v>4750</v>
      </c>
      <c r="E19" s="18">
        <f t="shared" ref="E19:E20" si="0">B19*D19/1000</f>
        <v>4677.3249999999998</v>
      </c>
    </row>
    <row r="20" spans="1:5" x14ac:dyDescent="0.3">
      <c r="A20" s="33" t="s">
        <v>22</v>
      </c>
      <c r="B20" s="38">
        <v>933.29955201592827</v>
      </c>
      <c r="C20" s="33" t="s">
        <v>3</v>
      </c>
      <c r="D20" s="18">
        <v>1430</v>
      </c>
      <c r="E20" s="18">
        <f t="shared" si="0"/>
        <v>1334.6183593827775</v>
      </c>
    </row>
    <row r="21" spans="1:5" x14ac:dyDescent="0.3">
      <c r="A21" s="33"/>
      <c r="B21" s="33"/>
      <c r="C21" s="33"/>
      <c r="D21" s="29"/>
      <c r="E21" s="24">
        <f>SUM(E18:E20)</f>
        <v>9474.8782424091587</v>
      </c>
    </row>
    <row r="22" spans="1:5" x14ac:dyDescent="0.3">
      <c r="A22" s="33" t="s">
        <v>4</v>
      </c>
      <c r="B22" s="47">
        <v>148312.28100000002</v>
      </c>
      <c r="C22" s="33" t="s">
        <v>3</v>
      </c>
    </row>
    <row r="23" spans="1:5" x14ac:dyDescent="0.3">
      <c r="A23" s="33" t="s">
        <v>5</v>
      </c>
      <c r="B23" s="47">
        <v>659961.43200000003</v>
      </c>
      <c r="C23" s="33" t="s">
        <v>3</v>
      </c>
    </row>
    <row r="24" spans="1:5" x14ac:dyDescent="0.3">
      <c r="A24" s="33" t="s">
        <v>6</v>
      </c>
      <c r="B24" s="47">
        <v>57409.95</v>
      </c>
      <c r="C24" s="33" t="s">
        <v>3</v>
      </c>
    </row>
    <row r="25" spans="1:5" x14ac:dyDescent="0.3">
      <c r="A25" s="33" t="s">
        <v>16</v>
      </c>
      <c r="B25" s="48">
        <v>3029.7533500000004</v>
      </c>
      <c r="C25" s="33" t="s">
        <v>3</v>
      </c>
    </row>
    <row r="26" spans="1:5" x14ac:dyDescent="0.3">
      <c r="A26" s="33" t="s">
        <v>17</v>
      </c>
      <c r="B26" s="36">
        <v>38616</v>
      </c>
      <c r="C26" s="33" t="s">
        <v>20</v>
      </c>
    </row>
    <row r="27" spans="1:5" x14ac:dyDescent="0.3">
      <c r="A27" s="33" t="s">
        <v>19</v>
      </c>
      <c r="B27" s="47">
        <v>9665.6299999999992</v>
      </c>
      <c r="C27" s="33" t="s">
        <v>3</v>
      </c>
    </row>
    <row r="28" spans="1:5" x14ac:dyDescent="0.3">
      <c r="A28" s="33" t="s">
        <v>18</v>
      </c>
      <c r="B28" s="47">
        <v>22578</v>
      </c>
      <c r="C28" s="33" t="s">
        <v>3</v>
      </c>
    </row>
    <row r="29" spans="1:5" x14ac:dyDescent="0.3">
      <c r="A29" s="33" t="s">
        <v>7</v>
      </c>
      <c r="B29" s="47">
        <v>156661.04999999999</v>
      </c>
      <c r="C29" s="33" t="s">
        <v>3</v>
      </c>
    </row>
  </sheetData>
  <mergeCells count="1">
    <mergeCell ref="D16:E1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B1E9-740B-42F2-8C5A-5A9E50612446}">
  <dimension ref="A1:E29"/>
  <sheetViews>
    <sheetView zoomScale="90" zoomScaleNormal="90" workbookViewId="0">
      <selection activeCell="B26" sqref="B26"/>
    </sheetView>
  </sheetViews>
  <sheetFormatPr defaultColWidth="8.77734375" defaultRowHeight="14.4" x14ac:dyDescent="0.3"/>
  <cols>
    <col min="1" max="1" width="34.21875" customWidth="1"/>
    <col min="2" max="4" width="14.21875" customWidth="1"/>
  </cols>
  <sheetData>
    <row r="1" spans="1:5" x14ac:dyDescent="0.3">
      <c r="A1" s="32" t="s">
        <v>0</v>
      </c>
    </row>
    <row r="2" spans="1:5" x14ac:dyDescent="0.3">
      <c r="A2" s="33" t="s">
        <v>1</v>
      </c>
      <c r="B2" s="34">
        <v>43466</v>
      </c>
      <c r="C2" s="33"/>
    </row>
    <row r="3" spans="1:5" x14ac:dyDescent="0.3">
      <c r="A3" s="33" t="s">
        <v>2</v>
      </c>
      <c r="B3" s="34">
        <v>43830</v>
      </c>
      <c r="C3" s="33"/>
    </row>
    <row r="4" spans="1:5" x14ac:dyDescent="0.3">
      <c r="A4" s="33"/>
      <c r="B4" s="35"/>
      <c r="C4" s="33"/>
    </row>
    <row r="5" spans="1:5" x14ac:dyDescent="0.3">
      <c r="A5" s="33"/>
      <c r="B5" s="35" t="s">
        <v>34</v>
      </c>
      <c r="C5" s="33" t="s">
        <v>35</v>
      </c>
      <c r="D5" s="33" t="s">
        <v>18</v>
      </c>
    </row>
    <row r="6" spans="1:5" x14ac:dyDescent="0.3">
      <c r="A6" s="33" t="s">
        <v>28</v>
      </c>
      <c r="B6" s="36">
        <v>34795</v>
      </c>
      <c r="C6" s="33">
        <v>25459</v>
      </c>
      <c r="D6">
        <v>9336</v>
      </c>
    </row>
    <row r="7" spans="1:5" x14ac:dyDescent="0.3">
      <c r="A7" s="33" t="s">
        <v>29</v>
      </c>
      <c r="B7" s="37"/>
      <c r="C7" s="38"/>
    </row>
    <row r="8" spans="1:5" x14ac:dyDescent="0.3">
      <c r="A8" s="33" t="s">
        <v>30</v>
      </c>
      <c r="B8" s="38">
        <v>5216</v>
      </c>
      <c r="C8" s="39"/>
    </row>
    <row r="9" spans="1:5" x14ac:dyDescent="0.3">
      <c r="A9" s="33" t="s">
        <v>31</v>
      </c>
      <c r="B9" s="38">
        <v>13407</v>
      </c>
      <c r="C9" s="39"/>
      <c r="D9" s="15"/>
    </row>
    <row r="10" spans="1:5" x14ac:dyDescent="0.3">
      <c r="A10" s="33" t="s">
        <v>37</v>
      </c>
      <c r="B10" s="38">
        <v>544</v>
      </c>
      <c r="C10" s="39"/>
    </row>
    <row r="11" spans="1:5" x14ac:dyDescent="0.3">
      <c r="A11" s="33" t="s">
        <v>43</v>
      </c>
      <c r="B11" s="38">
        <v>7171</v>
      </c>
      <c r="C11" s="39"/>
    </row>
    <row r="12" spans="1:5" x14ac:dyDescent="0.3">
      <c r="A12" s="33" t="s">
        <v>42</v>
      </c>
      <c r="B12" s="38">
        <v>8457</v>
      </c>
      <c r="C12" s="39"/>
    </row>
    <row r="13" spans="1:5" x14ac:dyDescent="0.3">
      <c r="A13" s="33" t="s">
        <v>40</v>
      </c>
      <c r="B13" s="38">
        <v>26338</v>
      </c>
      <c r="C13" s="39"/>
    </row>
    <row r="14" spans="1:5" x14ac:dyDescent="0.3">
      <c r="A14" s="33"/>
      <c r="B14" s="40"/>
      <c r="C14" s="39"/>
    </row>
    <row r="15" spans="1:5" x14ac:dyDescent="0.3">
      <c r="A15" s="33" t="s">
        <v>11</v>
      </c>
      <c r="B15" s="41">
        <f>B18/B8</f>
        <v>8.4739263803680978E-2</v>
      </c>
      <c r="C15" s="42" t="s">
        <v>39</v>
      </c>
    </row>
    <row r="16" spans="1:5" x14ac:dyDescent="0.3">
      <c r="A16" s="33" t="s">
        <v>13</v>
      </c>
      <c r="B16" s="41">
        <f>B19/B9</f>
        <v>9.4353695830536294E-2</v>
      </c>
      <c r="C16" s="42" t="s">
        <v>39</v>
      </c>
      <c r="D16" s="43" t="s">
        <v>27</v>
      </c>
      <c r="E16" s="43"/>
    </row>
    <row r="17" spans="1:5" x14ac:dyDescent="0.3">
      <c r="A17" s="33"/>
      <c r="B17" s="44"/>
      <c r="C17" s="39"/>
      <c r="D17" s="45"/>
      <c r="E17" s="46" t="s">
        <v>25</v>
      </c>
    </row>
    <row r="18" spans="1:5" x14ac:dyDescent="0.3">
      <c r="A18" s="33" t="s">
        <v>14</v>
      </c>
      <c r="B18" s="38">
        <v>442</v>
      </c>
      <c r="C18" s="33" t="s">
        <v>3</v>
      </c>
      <c r="D18" s="18">
        <v>10900</v>
      </c>
      <c r="E18" s="18">
        <f>B18*D18/1000</f>
        <v>4817.8</v>
      </c>
    </row>
    <row r="19" spans="1:5" x14ac:dyDescent="0.3">
      <c r="A19" s="33" t="s">
        <v>15</v>
      </c>
      <c r="B19" s="38">
        <v>1265</v>
      </c>
      <c r="C19" s="33" t="s">
        <v>3</v>
      </c>
      <c r="D19" s="18">
        <v>4750</v>
      </c>
      <c r="E19" s="18">
        <f t="shared" ref="E19:E20" si="0">B19*D19/1000</f>
        <v>6008.75</v>
      </c>
    </row>
    <row r="20" spans="1:5" x14ac:dyDescent="0.3">
      <c r="A20" s="33" t="s">
        <v>22</v>
      </c>
      <c r="B20" s="38">
        <v>277</v>
      </c>
      <c r="C20" s="33" t="s">
        <v>3</v>
      </c>
      <c r="D20" s="18">
        <v>1430</v>
      </c>
      <c r="E20" s="18">
        <f t="shared" si="0"/>
        <v>396.11</v>
      </c>
    </row>
    <row r="21" spans="1:5" x14ac:dyDescent="0.3">
      <c r="A21" s="33"/>
      <c r="B21" s="33"/>
      <c r="C21" s="33"/>
      <c r="D21" s="29"/>
      <c r="E21" s="24">
        <f>SUM(E18:E20)</f>
        <v>11222.66</v>
      </c>
    </row>
    <row r="22" spans="1:5" x14ac:dyDescent="0.3">
      <c r="A22" s="33" t="s">
        <v>4</v>
      </c>
      <c r="B22" s="47">
        <v>116413.82</v>
      </c>
      <c r="C22" s="33" t="s">
        <v>3</v>
      </c>
    </row>
    <row r="23" spans="1:5" x14ac:dyDescent="0.3">
      <c r="A23" s="33" t="s">
        <v>5</v>
      </c>
      <c r="B23" s="47">
        <v>518019.36</v>
      </c>
      <c r="C23" s="33" t="s">
        <v>3</v>
      </c>
    </row>
    <row r="24" spans="1:5" x14ac:dyDescent="0.3">
      <c r="A24" s="33" t="s">
        <v>6</v>
      </c>
      <c r="B24" s="47">
        <v>45062.43</v>
      </c>
      <c r="C24" s="33" t="s">
        <v>3</v>
      </c>
    </row>
    <row r="25" spans="1:5" x14ac:dyDescent="0.3">
      <c r="A25" s="33" t="s">
        <v>16</v>
      </c>
      <c r="B25" s="48">
        <v>2378.13</v>
      </c>
      <c r="C25" s="33" t="s">
        <v>3</v>
      </c>
    </row>
    <row r="26" spans="1:5" x14ac:dyDescent="0.3">
      <c r="A26" s="33" t="s">
        <v>17</v>
      </c>
      <c r="B26" s="36">
        <v>32929</v>
      </c>
      <c r="C26" s="33" t="s">
        <v>20</v>
      </c>
    </row>
    <row r="27" spans="1:5" x14ac:dyDescent="0.3">
      <c r="A27" s="33" t="s">
        <v>19</v>
      </c>
      <c r="B27" s="47">
        <v>7586.78</v>
      </c>
      <c r="C27" s="33" t="s">
        <v>3</v>
      </c>
    </row>
    <row r="28" spans="1:5" x14ac:dyDescent="0.3">
      <c r="A28" s="33" t="s">
        <v>18</v>
      </c>
      <c r="B28" s="47">
        <v>28008</v>
      </c>
      <c r="C28" s="33" t="s">
        <v>3</v>
      </c>
    </row>
    <row r="29" spans="1:5" x14ac:dyDescent="0.3">
      <c r="A29" s="33" t="s">
        <v>7</v>
      </c>
      <c r="B29" s="47">
        <v>122966.97</v>
      </c>
      <c r="C29" s="33" t="s">
        <v>3</v>
      </c>
    </row>
  </sheetData>
  <mergeCells count="1">
    <mergeCell ref="D16:E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2010-2011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Funkel</dc:creator>
  <cp:lastModifiedBy>Frank Edney Gontijo Amorim</cp:lastModifiedBy>
  <dcterms:created xsi:type="dcterms:W3CDTF">2012-02-28T14:17:30Z</dcterms:created>
  <dcterms:modified xsi:type="dcterms:W3CDTF">2020-05-15T01:12:11Z</dcterms:modified>
</cp:coreProperties>
</file>