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Planilha com remanejamentos" sheetId="1" r:id="rId1"/>
    <sheet name="Justificativas" sheetId="2" r:id="rId2"/>
  </sheets>
  <calcPr calcId="125725"/>
</workbook>
</file>

<file path=xl/calcChain.xml><?xml version="1.0" encoding="utf-8"?>
<calcChain xmlns="http://schemas.openxmlformats.org/spreadsheetml/2006/main">
  <c r="S97" i="1"/>
  <c r="R97"/>
  <c r="R96"/>
  <c r="R95"/>
  <c r="R94"/>
  <c r="O98" l="1"/>
  <c r="N98"/>
  <c r="O94"/>
  <c r="O95"/>
  <c r="N96"/>
  <c r="N97" s="1"/>
  <c r="N91"/>
  <c r="N89"/>
  <c r="O88"/>
  <c r="O87"/>
  <c r="O86"/>
  <c r="N84"/>
  <c r="O80"/>
  <c r="O81"/>
  <c r="O82"/>
  <c r="O83"/>
  <c r="N77"/>
  <c r="O65"/>
  <c r="O66"/>
  <c r="O67"/>
  <c r="O68"/>
  <c r="O69"/>
  <c r="O70"/>
  <c r="O71"/>
  <c r="O72"/>
  <c r="O73"/>
  <c r="O74"/>
  <c r="O75"/>
  <c r="O76"/>
  <c r="O64"/>
  <c r="L60"/>
  <c r="M60"/>
  <c r="N60"/>
  <c r="N61" s="1"/>
  <c r="K60"/>
  <c r="L61"/>
  <c r="M61"/>
  <c r="L57"/>
  <c r="M57"/>
  <c r="N57"/>
  <c r="L54"/>
  <c r="M54"/>
  <c r="N54"/>
  <c r="N51"/>
  <c r="O40"/>
  <c r="O41"/>
  <c r="O42"/>
  <c r="O43"/>
  <c r="O44"/>
  <c r="O45"/>
  <c r="O46"/>
  <c r="O47"/>
  <c r="O48"/>
  <c r="O49"/>
  <c r="O50"/>
  <c r="O39"/>
  <c r="O36"/>
  <c r="O31"/>
  <c r="O32"/>
  <c r="O33"/>
  <c r="O34"/>
  <c r="O35"/>
  <c r="N36"/>
  <c r="N35"/>
  <c r="O30"/>
  <c r="N28"/>
  <c r="O27"/>
  <c r="N25"/>
  <c r="M25"/>
  <c r="O24"/>
  <c r="O23"/>
  <c r="L19"/>
  <c r="M19"/>
  <c r="N19"/>
  <c r="O18"/>
  <c r="L16"/>
  <c r="M16"/>
  <c r="N16"/>
  <c r="O15"/>
  <c r="L13"/>
  <c r="M13"/>
  <c r="N13"/>
  <c r="O12"/>
  <c r="L10"/>
  <c r="M10"/>
  <c r="N10"/>
  <c r="O9"/>
  <c r="O8"/>
  <c r="L97"/>
  <c r="L96"/>
  <c r="M96"/>
  <c r="M97" s="1"/>
  <c r="D96"/>
  <c r="D97" s="1"/>
  <c r="D98" s="1"/>
  <c r="E96"/>
  <c r="E97" s="1"/>
  <c r="E98" s="1"/>
  <c r="F96"/>
  <c r="F97" s="1"/>
  <c r="F98" s="1"/>
  <c r="G96"/>
  <c r="G97" s="1"/>
  <c r="G98" s="1"/>
  <c r="H96"/>
  <c r="H97" s="1"/>
  <c r="H98" s="1"/>
  <c r="I96"/>
  <c r="I97" s="1"/>
  <c r="I98" s="1"/>
  <c r="J96"/>
  <c r="J97" s="1"/>
  <c r="J98" s="1"/>
  <c r="K96"/>
  <c r="K97" s="1"/>
  <c r="K98" s="1"/>
  <c r="C96"/>
  <c r="C97" s="1"/>
  <c r="C98" s="1"/>
  <c r="O96" l="1"/>
  <c r="O97" s="1"/>
  <c r="O10"/>
  <c r="I42"/>
  <c r="K34"/>
  <c r="J34"/>
  <c r="H34"/>
  <c r="C35"/>
  <c r="K33"/>
  <c r="J33"/>
  <c r="H33"/>
  <c r="R33" s="1"/>
  <c r="F15"/>
  <c r="F9"/>
  <c r="R34" l="1"/>
  <c r="D10" l="1"/>
  <c r="I51"/>
  <c r="R50"/>
  <c r="E31"/>
  <c r="E35" s="1"/>
  <c r="F31"/>
  <c r="F35" s="1"/>
  <c r="G31"/>
  <c r="G35" s="1"/>
  <c r="H31"/>
  <c r="H35" s="1"/>
  <c r="I31"/>
  <c r="I35" s="1"/>
  <c r="J31"/>
  <c r="J35" s="1"/>
  <c r="K31"/>
  <c r="K35" s="1"/>
  <c r="L31"/>
  <c r="L35" s="1"/>
  <c r="M31"/>
  <c r="M35" s="1"/>
  <c r="D31"/>
  <c r="D30"/>
  <c r="D35" s="1"/>
  <c r="D23"/>
  <c r="I82"/>
  <c r="R82" s="1"/>
  <c r="I67" l="1"/>
  <c r="I72"/>
  <c r="D89" l="1"/>
  <c r="E89"/>
  <c r="F89"/>
  <c r="G89"/>
  <c r="H89"/>
  <c r="I89"/>
  <c r="J89"/>
  <c r="K89"/>
  <c r="L89"/>
  <c r="M89"/>
  <c r="I69"/>
  <c r="J83"/>
  <c r="K83"/>
  <c r="L83"/>
  <c r="M83"/>
  <c r="I83"/>
  <c r="J79"/>
  <c r="K79"/>
  <c r="L79"/>
  <c r="M79"/>
  <c r="I79"/>
  <c r="D77"/>
  <c r="E77"/>
  <c r="F77"/>
  <c r="G77"/>
  <c r="H77"/>
  <c r="J77"/>
  <c r="K77"/>
  <c r="L77"/>
  <c r="M77"/>
  <c r="C77"/>
  <c r="R76"/>
  <c r="S75"/>
  <c r="R68"/>
  <c r="R70"/>
  <c r="R71"/>
  <c r="R72"/>
  <c r="R73"/>
  <c r="R74"/>
  <c r="S64"/>
  <c r="R64"/>
  <c r="L20"/>
  <c r="L98" s="1"/>
  <c r="M20"/>
  <c r="M98" s="1"/>
  <c r="L25"/>
  <c r="D51"/>
  <c r="E51"/>
  <c r="F51"/>
  <c r="G51"/>
  <c r="H51"/>
  <c r="J51"/>
  <c r="K51"/>
  <c r="L51"/>
  <c r="M51"/>
  <c r="C51"/>
  <c r="R49"/>
  <c r="S48"/>
  <c r="S47"/>
  <c r="R46"/>
  <c r="R42"/>
  <c r="R43"/>
  <c r="R44"/>
  <c r="S45"/>
  <c r="S51" s="1"/>
  <c r="S69" l="1"/>
  <c r="S71"/>
  <c r="S77" s="1"/>
  <c r="L84"/>
  <c r="L91" s="1"/>
  <c r="M84"/>
  <c r="M91" s="1"/>
  <c r="I77"/>
  <c r="R67"/>
  <c r="S31"/>
  <c r="L28"/>
  <c r="M28"/>
  <c r="S23"/>
  <c r="S25" s="1"/>
  <c r="R87"/>
  <c r="R88"/>
  <c r="R80"/>
  <c r="S81"/>
  <c r="S84" s="1"/>
  <c r="R83"/>
  <c r="R65"/>
  <c r="R77" s="1"/>
  <c r="R66"/>
  <c r="O59"/>
  <c r="O56"/>
  <c r="O53"/>
  <c r="R40"/>
  <c r="R41"/>
  <c r="R9"/>
  <c r="R8"/>
  <c r="S13"/>
  <c r="G24"/>
  <c r="G25" s="1"/>
  <c r="S56"/>
  <c r="S57" s="1"/>
  <c r="R53"/>
  <c r="E24"/>
  <c r="S89"/>
  <c r="C89"/>
  <c r="K84"/>
  <c r="K91" s="1"/>
  <c r="J84"/>
  <c r="J91" s="1"/>
  <c r="I84"/>
  <c r="H84"/>
  <c r="H91" s="1"/>
  <c r="G84"/>
  <c r="G91" s="1"/>
  <c r="F84"/>
  <c r="F91" s="1"/>
  <c r="E84"/>
  <c r="E91" s="1"/>
  <c r="D84"/>
  <c r="D91" s="1"/>
  <c r="C84"/>
  <c r="O79"/>
  <c r="S60"/>
  <c r="R60"/>
  <c r="J60"/>
  <c r="I60"/>
  <c r="H60"/>
  <c r="G60"/>
  <c r="F60"/>
  <c r="E60"/>
  <c r="D60"/>
  <c r="C60"/>
  <c r="K57"/>
  <c r="J57"/>
  <c r="I57"/>
  <c r="H57"/>
  <c r="G57"/>
  <c r="F57"/>
  <c r="E57"/>
  <c r="D57"/>
  <c r="C57"/>
  <c r="S54"/>
  <c r="K54"/>
  <c r="J54"/>
  <c r="I54"/>
  <c r="H54"/>
  <c r="G54"/>
  <c r="F54"/>
  <c r="E54"/>
  <c r="D54"/>
  <c r="C54"/>
  <c r="K28"/>
  <c r="J28"/>
  <c r="I28"/>
  <c r="H28"/>
  <c r="G28"/>
  <c r="F28"/>
  <c r="E28"/>
  <c r="D28"/>
  <c r="C28"/>
  <c r="K25"/>
  <c r="J25"/>
  <c r="I25"/>
  <c r="H25"/>
  <c r="F25"/>
  <c r="D25"/>
  <c r="C25"/>
  <c r="S19"/>
  <c r="K19"/>
  <c r="J19"/>
  <c r="I19"/>
  <c r="H19"/>
  <c r="G19"/>
  <c r="F19"/>
  <c r="E19"/>
  <c r="D19"/>
  <c r="C19"/>
  <c r="S16"/>
  <c r="K16"/>
  <c r="J16"/>
  <c r="I16"/>
  <c r="H16"/>
  <c r="G16"/>
  <c r="F16"/>
  <c r="E16"/>
  <c r="D16"/>
  <c r="C16"/>
  <c r="K13"/>
  <c r="J13"/>
  <c r="I13"/>
  <c r="H13"/>
  <c r="G13"/>
  <c r="F13"/>
  <c r="E13"/>
  <c r="D13"/>
  <c r="C13"/>
  <c r="S10"/>
  <c r="K10"/>
  <c r="J10"/>
  <c r="I10"/>
  <c r="H10"/>
  <c r="G10"/>
  <c r="F10"/>
  <c r="E10"/>
  <c r="C10"/>
  <c r="R86" l="1"/>
  <c r="R89" s="1"/>
  <c r="O89"/>
  <c r="O51"/>
  <c r="R39"/>
  <c r="R51" s="1"/>
  <c r="O16"/>
  <c r="R15"/>
  <c r="R16" s="1"/>
  <c r="R79"/>
  <c r="R84" s="1"/>
  <c r="R91" s="1"/>
  <c r="O84"/>
  <c r="O13"/>
  <c r="R12"/>
  <c r="R13" s="1"/>
  <c r="S30"/>
  <c r="R10"/>
  <c r="O77"/>
  <c r="O19"/>
  <c r="R18"/>
  <c r="R19" s="1"/>
  <c r="D36"/>
  <c r="H36"/>
  <c r="J36"/>
  <c r="K61"/>
  <c r="M36"/>
  <c r="C91"/>
  <c r="L36"/>
  <c r="I91"/>
  <c r="S91"/>
  <c r="C36"/>
  <c r="F36"/>
  <c r="I36"/>
  <c r="K36"/>
  <c r="G36"/>
  <c r="F20"/>
  <c r="O60"/>
  <c r="C61"/>
  <c r="E61"/>
  <c r="G61"/>
  <c r="I61"/>
  <c r="O54"/>
  <c r="O57"/>
  <c r="C20"/>
  <c r="E20"/>
  <c r="G20"/>
  <c r="I20"/>
  <c r="K20"/>
  <c r="J61"/>
  <c r="S61"/>
  <c r="R54"/>
  <c r="R57"/>
  <c r="S20"/>
  <c r="H20"/>
  <c r="D61"/>
  <c r="F61"/>
  <c r="H61"/>
  <c r="D20"/>
  <c r="J20"/>
  <c r="R28"/>
  <c r="E25"/>
  <c r="E36" s="1"/>
  <c r="O91" l="1"/>
  <c r="S27"/>
  <c r="S28" s="1"/>
  <c r="O28"/>
  <c r="O20"/>
  <c r="O61"/>
  <c r="R20"/>
  <c r="R61"/>
  <c r="O25"/>
  <c r="R24"/>
  <c r="R25" s="1"/>
  <c r="R32"/>
  <c r="R35" s="1"/>
  <c r="S35"/>
  <c r="R36" l="1"/>
  <c r="R98" s="1"/>
  <c r="S36"/>
  <c r="S98" s="1"/>
</calcChain>
</file>

<file path=xl/sharedStrings.xml><?xml version="1.0" encoding="utf-8"?>
<sst xmlns="http://schemas.openxmlformats.org/spreadsheetml/2006/main" count="143" uniqueCount="136">
  <si>
    <t>BUDGET</t>
  </si>
  <si>
    <t>ACTIVITY PLAN</t>
  </si>
  <si>
    <t>APRIL</t>
  </si>
  <si>
    <t>JUNE</t>
  </si>
  <si>
    <t>JULY</t>
  </si>
  <si>
    <t>AUGUST</t>
  </si>
  <si>
    <t>SEPTEMBER</t>
  </si>
  <si>
    <t>NOVEMBER</t>
  </si>
  <si>
    <t>DECEMBER</t>
  </si>
  <si>
    <t>JANUARY</t>
  </si>
  <si>
    <t>FEBRUARY</t>
  </si>
  <si>
    <t>TOTAL</t>
  </si>
  <si>
    <t xml:space="preserve">Co-funding </t>
  </si>
  <si>
    <t>(Only) for co-funding, please provide the source within the organisation</t>
  </si>
  <si>
    <t>Sub Total element of activity 1.1</t>
  </si>
  <si>
    <t>Sub Total element of activity 1.2</t>
  </si>
  <si>
    <t>Sub Total element of activity 1.3</t>
  </si>
  <si>
    <t>Sub Total element of activity 1.4</t>
  </si>
  <si>
    <t>Sub Total of training activity 1</t>
  </si>
  <si>
    <t>Sub Total element of activity 2.1</t>
  </si>
  <si>
    <t>Sub Total element of activity 2.2</t>
  </si>
  <si>
    <t>Sub Total element of activity 2.3</t>
  </si>
  <si>
    <t>Sub Total of training activity 2</t>
  </si>
  <si>
    <t>Sub Total element of activity 3.1</t>
  </si>
  <si>
    <t>Sub Total element of activity 3.2</t>
  </si>
  <si>
    <t>Sub Total element of activity 3.3</t>
  </si>
  <si>
    <t>Sub Total element of activity 3.4</t>
  </si>
  <si>
    <t>Sub Total of training activity 3</t>
  </si>
  <si>
    <t>Sub Total element of activity 4.1</t>
  </si>
  <si>
    <t>Sub Total element of activity 4.2</t>
  </si>
  <si>
    <t>Sub Total element of activity 4.3</t>
  </si>
  <si>
    <t>Sub Total of training activity 4</t>
  </si>
  <si>
    <t>TOTAL COST</t>
  </si>
  <si>
    <t xml:space="preserve">Newton Fund </t>
  </si>
  <si>
    <t>MAY</t>
  </si>
  <si>
    <t>JBRJ (non-financial)</t>
  </si>
  <si>
    <t>ISA (non-financial)</t>
  </si>
  <si>
    <t>MPEG (non-financial)</t>
  </si>
  <si>
    <t>OCTOBER</t>
  </si>
  <si>
    <t>Training activity 1 - Integrated collections research - Experiential learning in UK</t>
  </si>
  <si>
    <t>Element of activity 1.1 - Introduction to advanced curation of ethnobotanical specimens</t>
  </si>
  <si>
    <t>Item 1.1.1 2x flights Rio-London-Rio (trainees)</t>
  </si>
  <si>
    <t>Item 1.1.2  6 weeks (4+2) accommodation/subsistence London</t>
  </si>
  <si>
    <t>Element of activity 1.2 - Training in museum photography and manuscript digitisation</t>
  </si>
  <si>
    <t>Item 1.2.1 - Contract freelance museum photographer</t>
  </si>
  <si>
    <t>Element of activity 1.3 - Introduction to use of collections in public engagement</t>
  </si>
  <si>
    <t>Item 1.3.1 - Local UK transport (museums visits)</t>
  </si>
  <si>
    <t>Item 1.4.1 - Training materials/consumables</t>
  </si>
  <si>
    <t>Element of activity 1.4 - Guidance on integration of collections for research</t>
  </si>
  <si>
    <t>Training activity 2 - Data platform development and programme management</t>
  </si>
  <si>
    <t>Element of activity 2.1 - Establishment of infrastructure</t>
  </si>
  <si>
    <t>Item 2.1.1 - Data storage - Reflora</t>
  </si>
  <si>
    <t>JBRJ (financial)</t>
  </si>
  <si>
    <t>Item 2.1.2 - Hard drives (x20) for transport/storage of repatriated data</t>
  </si>
  <si>
    <t>Element of activity 2.2 - Development of Reflora data platform</t>
  </si>
  <si>
    <t>Item 2.2.1 - 2x contracted staff JBRJ</t>
  </si>
  <si>
    <t>Element of activity 2.3 - Management and technical input</t>
  </si>
  <si>
    <t>Item 2.3.1 - JBRJ Herbarium researcher (50% 10 months)</t>
  </si>
  <si>
    <t>Training activity 3 - Integrated collections research - Brazil-based training course</t>
  </si>
  <si>
    <t>Element of activity 3.1 - Working with ethnobotanical objects</t>
  </si>
  <si>
    <t>Element of activity 3.2 - Integrating collections</t>
  </si>
  <si>
    <t>Element of activity 3.3 - Identifying user groups</t>
  </si>
  <si>
    <t>Element of activity 3.4 - Collections-based research</t>
  </si>
  <si>
    <t>Item 3.1.2 - Local transport cost Rio (Kew trainers)</t>
  </si>
  <si>
    <t>Item 3.1.4 - Flight Belem-Rio-Belem (MPEG trainee)</t>
  </si>
  <si>
    <t>Item 3.1.5 - Flights São Paulo-Rio-São Paulo x 2 (ISA trainees)</t>
  </si>
  <si>
    <t>Item 3.16 - Flight SGC-Rio-SGC (FOIRN trainee)</t>
  </si>
  <si>
    <t>Item 3.17 - Trainee accommodation - Rio Botanic Garden x 7 days x 7 people</t>
  </si>
  <si>
    <t>Item 3.18 - Trainee transport/subsistence Rio x 7 days x 7 people</t>
  </si>
  <si>
    <t>Item 3.19 - Hire of venue for training</t>
  </si>
  <si>
    <t>Item 3.20 - Hire of audiovisual equipment for training</t>
  </si>
  <si>
    <t>Iten 3.21 - Training consumables</t>
  </si>
  <si>
    <t xml:space="preserve">Training activity 4 - Indigenous research and collections training, São Gabriel da Cachoeira </t>
  </si>
  <si>
    <t>Element of activity 4.1 - Training course</t>
  </si>
  <si>
    <t>Item 4.1.1 - Logistics assistant (ISA)</t>
  </si>
  <si>
    <t>Item 4.1.2 - Air tickets São Paulo-SGC-São Paulo x 3 (ISA staff)</t>
  </si>
  <si>
    <t>Item 4.1.3 - Air tickets London-Rio-London x 1 (Kew trainer)</t>
  </si>
  <si>
    <t>Item 4.15 - Air ticket Belem-SGC-Belem x 1 (MPEG trainer)</t>
  </si>
  <si>
    <t>Element of activity 4.2 - Follow-up research programme</t>
  </si>
  <si>
    <t>Item 4.2.1 - Participative research 15 trainees</t>
  </si>
  <si>
    <t>Item 4.2.2 - Food for indigenous researchers during research</t>
  </si>
  <si>
    <t>Item 4.2.3 - Socio-environmental Research Analyst - Tiquie river</t>
  </si>
  <si>
    <t>Element of activity 4.3 - Production of training manual</t>
  </si>
  <si>
    <t>Item 4.16 - MPEG trainer staff time</t>
  </si>
  <si>
    <t>Item 4.3.1 - Design</t>
  </si>
  <si>
    <t>Item 4.3.2 - Printing</t>
  </si>
  <si>
    <t>Item 4.3.3 - Distribution</t>
  </si>
  <si>
    <t>Item 4.17 - Subsistence allowance workshop participants SGC (19 people)</t>
  </si>
  <si>
    <t>Item 4.18 - Accommodation workshop participants SGC</t>
  </si>
  <si>
    <t>Item 4.20 - Local transport SGC</t>
  </si>
  <si>
    <t>Item 4.21 - Fuel to bring participants from communities</t>
  </si>
  <si>
    <t>Item 4.22 - Hire of venue/infrastructure for workshop</t>
  </si>
  <si>
    <t>Item 4.23 - Workshop/training consumables</t>
  </si>
  <si>
    <t>Item 4.2.4 - ISA project administration cost</t>
  </si>
  <si>
    <t>Item 3.1.3 - Subsistence/accommodation cost Rio (Kew/Birkbeck trainers 10 days x 3)</t>
  </si>
  <si>
    <t>Item 4.14 - Air tickets Rio-SGC-Rio x 3 (Kew/JBRJ/Birkbeck trainers)</t>
  </si>
  <si>
    <t>Item 4.19 - Accommodation/subsistence trainers (MPEG, JBRJ, KEW, Birkbeck)</t>
  </si>
  <si>
    <t>Item 4.2.4 - Digital cameras for research x 8</t>
  </si>
  <si>
    <t>Item 2.3.2 - JBRJ Reflora researcher (30% 10 months)</t>
  </si>
  <si>
    <t xml:space="preserve">Source of Co-funding </t>
  </si>
  <si>
    <t>Item 3.1.1 - Flights x 2 London-Rio-London (Kew/Birkbeck trainers)</t>
  </si>
  <si>
    <t>Item 3.22 -  Flight Rio-BH-Rio x 2 (UFMG trainee/JBBH trainee)</t>
  </si>
  <si>
    <t>Item 2.3.3 - Consult Professional</t>
  </si>
  <si>
    <t>Item 2.3.5 - Consult Professional</t>
  </si>
  <si>
    <t>Item 2.3.4 - Audit</t>
  </si>
  <si>
    <t xml:space="preserve">Training activity 5 - International congress </t>
  </si>
  <si>
    <t>Element of activity 5.1 - Project presentation</t>
  </si>
  <si>
    <t>Item 5.1.1 - Flight Rio-Madrid-Rio (MPEG trainee)</t>
  </si>
  <si>
    <t xml:space="preserve">Item 5.1.2 - Congress registration
</t>
  </si>
  <si>
    <t>Sub Total element of activity 5.1</t>
  </si>
  <si>
    <t>Sub Total of training activity 5</t>
  </si>
  <si>
    <t>MARCH</t>
  </si>
  <si>
    <t>Item 1.1.2  6 semanas (4+2) hospedagem/subsistência Londres</t>
  </si>
  <si>
    <t>Item 1.3.1 - Transporte local no Reino Unido (visitas a museus)</t>
  </si>
  <si>
    <t>Item 2.3.4 - Auditoria</t>
  </si>
  <si>
    <t>Item 2.3.5 - Consultoria profissional</t>
  </si>
  <si>
    <t>Item 3.1.4 - Voo Belém-Rio-Belém (treinee do MPEG)</t>
  </si>
  <si>
    <t>Item 3.18 - Transporte/subsistência de trainees - Rio x 7 dias x 7 pessoas</t>
  </si>
  <si>
    <t>Item 3.1.3 - Subsistência/hospedagem no Rio (instrutores de Kew/Birkbeck 10 dias x 3)</t>
  </si>
  <si>
    <t>Item 2.1.2 - Hard drives (x20) para transporte/armazenagem de dados repatriados</t>
  </si>
  <si>
    <t>Item 1.4.1 - Materiais de treinamento/produtos para consumo</t>
  </si>
  <si>
    <t>Item 5.1.1 - Voo Rio-Madrid-Rio</t>
  </si>
  <si>
    <t xml:space="preserve">Item 5.1.2 - Inscrição em Congresso </t>
  </si>
  <si>
    <t>Itens</t>
  </si>
  <si>
    <t>Justificativas</t>
  </si>
  <si>
    <t>Solicitamos remanejar o valor de 228,43 para o item 1.3.1</t>
  </si>
  <si>
    <t>Foi gasto um valor superior ao orçado, pois a opção foi pela hospedagem próximo ao Kew Gardens, porém muito afastada do centro de Londres e dos demais museus visitados e outros jardins botânicos.</t>
  </si>
  <si>
    <t xml:space="preserve">O invoice de Kew não chegou a tempo de realizar os câmbios e autorizações bancárias, pois além da previsão do fotógrafo existiram outros gastos por parte do Kew ao longo do projeto. Logo, para facilitar os trâmites bancários, e principalmente reduzir os custos de transferências bancárias (muito altos no Brasil), este invoice ficou para ser apresentado ao final do projeto, especialmente ao final da etapa da Amazonia onde a equipe de Kew trouxe o material para os indígenas realizarem a oficina de Etnobotânica e Ilustração Botânica. Saliento que como houve problemas na administração do Kew para emissão do invoice, esta semana, quando o referido documento foi apresentado a FFlora, não pode ser efetuado o câmbio e transferência a tempo. </t>
  </si>
  <si>
    <t>Solicitamos remanejar o valor de 1.030 libras para o item 5.1.1, 820,75 para o item 1.4.1 e 234 libras para o item 5.1.2</t>
  </si>
  <si>
    <t>O valor orçado anteriormente na elaboração do projeto, não foi suficiente para cobrir as despesas com auditoria, por isso o valor foi maior do que o orçado</t>
  </si>
  <si>
    <t>O valor orçado anteriormente na elaboração do projeto, não foi suficiente para cobrir as despesas com contador por isso o valor foi maior do que o orçado</t>
  </si>
  <si>
    <t>Solicitamos remanejar 539,30 libras para o item 2.3.5 e 295,60 libras para o item 3.1.4</t>
  </si>
  <si>
    <t>Inicialmente estava previsto a viagem de apenas um pesquisador, mas foi necessário a presença de dois pesquisadores, que participaram do workshop como palestrantes</t>
  </si>
  <si>
    <t>Solicitamos o remanejamento de 1.296,56 libras para o item 2.3.4</t>
  </si>
  <si>
    <t>Solicitamos a inclusão dessa rubrica devido a necessidade de pagamento da taxa de inscrição no congresso</t>
  </si>
  <si>
    <t>Solicitamos a inclusão dessa rubrica devido a realização do congresso internacional :58th SEB Annual Meeting organizado pelo Mountain Research Centre (CIMO) of the Polytechnic Institute of Bragança (IPB), em Portugal, junto a Society for Economic Botany (SEB) da qual a coordenadora faz parte. Este evento será em Bragança (norte de Portugal), para apresentação dos dados do projeto em uma palestra, além de outras reuniões em coleções de Portugal/Espanha.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</si>
</sst>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&quot;$&quot;#,##0"/>
    <numFmt numFmtId="166" formatCode="[$£-491]#,##0.00"/>
  </numFmts>
  <fonts count="1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 tint="0.499984740745262"/>
      <name val="Arial Narrow"/>
      <family val="2"/>
    </font>
    <font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i/>
      <sz val="12"/>
      <color theme="1" tint="0.249977111117893"/>
      <name val="Arial Narrow"/>
      <family val="2"/>
    </font>
    <font>
      <sz val="12"/>
      <color theme="1" tint="0.249977111117893"/>
      <name val="Arial Narrow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165" fontId="3" fillId="3" borderId="10" xfId="0" applyNumberFormat="1" applyFont="1" applyFill="1" applyBorder="1" applyAlignment="1">
      <alignment vertical="center"/>
    </xf>
    <xf numFmtId="165" fontId="3" fillId="3" borderId="1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5" fontId="3" fillId="5" borderId="2" xfId="0" applyNumberFormat="1" applyFont="1" applyFill="1" applyBorder="1" applyAlignment="1">
      <alignment vertical="center"/>
    </xf>
    <xf numFmtId="165" fontId="3" fillId="5" borderId="3" xfId="0" applyNumberFormat="1" applyFont="1" applyFill="1" applyBorder="1" applyAlignment="1">
      <alignment vertical="center"/>
    </xf>
    <xf numFmtId="165" fontId="2" fillId="5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8" fillId="5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0" borderId="0" xfId="0" applyFont="1"/>
    <xf numFmtId="165" fontId="2" fillId="3" borderId="10" xfId="0" applyNumberFormat="1" applyFont="1" applyFill="1" applyBorder="1" applyAlignment="1">
      <alignment vertical="center"/>
    </xf>
    <xf numFmtId="164" fontId="3" fillId="6" borderId="12" xfId="1" applyFont="1" applyFill="1" applyBorder="1" applyAlignment="1">
      <alignment horizontal="center" vertical="center" wrapText="1"/>
    </xf>
    <xf numFmtId="164" fontId="3" fillId="6" borderId="0" xfId="1" applyFont="1" applyFill="1" applyAlignment="1">
      <alignment vertical="center"/>
    </xf>
    <xf numFmtId="164" fontId="3" fillId="6" borderId="12" xfId="1" applyFont="1" applyFill="1" applyBorder="1" applyAlignment="1">
      <alignment horizontal="center" vertical="center"/>
    </xf>
    <xf numFmtId="164" fontId="9" fillId="0" borderId="12" xfId="1" applyFont="1" applyBorder="1" applyAlignment="1">
      <alignment horizontal="center" vertical="center"/>
    </xf>
    <xf numFmtId="164" fontId="3" fillId="6" borderId="1" xfId="1" applyFont="1" applyFill="1" applyBorder="1" applyAlignment="1">
      <alignment horizontal="center" vertical="center"/>
    </xf>
    <xf numFmtId="164" fontId="2" fillId="7" borderId="13" xfId="1" applyFont="1" applyFill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164" fontId="3" fillId="0" borderId="12" xfId="1" applyFont="1" applyBorder="1" applyAlignment="1">
      <alignment vertical="center"/>
    </xf>
    <xf numFmtId="164" fontId="3" fillId="0" borderId="12" xfId="1" applyFont="1" applyBorder="1" applyAlignment="1">
      <alignment horizontal="center" vertical="center"/>
    </xf>
    <xf numFmtId="164" fontId="3" fillId="5" borderId="2" xfId="1" applyFont="1" applyFill="1" applyBorder="1" applyAlignment="1">
      <alignment vertical="center"/>
    </xf>
    <xf numFmtId="164" fontId="3" fillId="5" borderId="3" xfId="1" applyFont="1" applyFill="1" applyBorder="1" applyAlignment="1">
      <alignment vertical="center"/>
    </xf>
    <xf numFmtId="164" fontId="3" fillId="0" borderId="1" xfId="1" applyFont="1" applyBorder="1" applyAlignment="1">
      <alignment vertical="center"/>
    </xf>
    <xf numFmtId="164" fontId="3" fillId="4" borderId="9" xfId="1" applyFont="1" applyFill="1" applyBorder="1" applyAlignment="1">
      <alignment vertical="center"/>
    </xf>
    <xf numFmtId="164" fontId="3" fillId="4" borderId="10" xfId="1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2" fillId="8" borderId="1" xfId="1" applyFont="1" applyFill="1" applyBorder="1" applyAlignment="1">
      <alignment horizontal="center" vertical="center"/>
    </xf>
    <xf numFmtId="164" fontId="3" fillId="0" borderId="12" xfId="1" applyFont="1" applyBorder="1" applyAlignment="1">
      <alignment horizontal="left" vertical="center"/>
    </xf>
    <xf numFmtId="164" fontId="3" fillId="5" borderId="3" xfId="1" applyFont="1" applyFill="1" applyBorder="1" applyAlignment="1">
      <alignment horizontal="center" vertical="center"/>
    </xf>
    <xf numFmtId="164" fontId="2" fillId="5" borderId="4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164" fontId="3" fillId="3" borderId="10" xfId="1" applyFont="1" applyFill="1" applyBorder="1" applyAlignment="1">
      <alignment vertical="center"/>
    </xf>
    <xf numFmtId="164" fontId="3" fillId="3" borderId="11" xfId="1" applyFont="1" applyFill="1" applyBorder="1" applyAlignment="1">
      <alignment vertical="center"/>
    </xf>
    <xf numFmtId="164" fontId="6" fillId="4" borderId="12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3" fillId="0" borderId="12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3" fillId="0" borderId="3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3" fillId="4" borderId="12" xfId="1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6" fontId="6" fillId="4" borderId="12" xfId="1" applyNumberFormat="1" applyFont="1" applyFill="1" applyBorder="1" applyAlignment="1">
      <alignment horizontal="right" vertical="center"/>
    </xf>
    <xf numFmtId="164" fontId="3" fillId="4" borderId="12" xfId="1" applyFont="1" applyFill="1" applyBorder="1" applyAlignment="1">
      <alignment horizontal="lef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3" fillId="4" borderId="1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/>
    </xf>
    <xf numFmtId="165" fontId="2" fillId="5" borderId="0" xfId="0" applyNumberFormat="1" applyFont="1" applyFill="1" applyBorder="1" applyAlignment="1">
      <alignment horizontal="center" vertical="center"/>
    </xf>
    <xf numFmtId="164" fontId="9" fillId="0" borderId="0" xfId="1" applyFont="1" applyBorder="1" applyAlignment="1">
      <alignment horizontal="center" vertical="center"/>
    </xf>
    <xf numFmtId="164" fontId="3" fillId="6" borderId="0" xfId="1" applyFont="1" applyFill="1" applyBorder="1" applyAlignment="1">
      <alignment horizontal="center" vertical="center" wrapText="1"/>
    </xf>
    <xf numFmtId="164" fontId="2" fillId="5" borderId="0" xfId="1" applyFont="1" applyFill="1" applyBorder="1" applyAlignment="1">
      <alignment horizontal="center" vertical="center"/>
    </xf>
    <xf numFmtId="164" fontId="3" fillId="6" borderId="0" xfId="1" applyFont="1" applyFill="1" applyBorder="1" applyAlignment="1">
      <alignment horizontal="center" vertical="center"/>
    </xf>
    <xf numFmtId="164" fontId="2" fillId="7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12" xfId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164" fontId="3" fillId="4" borderId="12" xfId="1" applyFont="1" applyFill="1" applyBorder="1" applyAlignment="1">
      <alignment horizontal="center" vertical="center" wrapText="1"/>
    </xf>
    <xf numFmtId="164" fontId="2" fillId="4" borderId="4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164" fontId="2" fillId="4" borderId="0" xfId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/>
    </xf>
    <xf numFmtId="164" fontId="2" fillId="7" borderId="5" xfId="1" applyFont="1" applyFill="1" applyBorder="1" applyAlignment="1">
      <alignment horizontal="center" vertical="center"/>
    </xf>
    <xf numFmtId="164" fontId="2" fillId="4" borderId="5" xfId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164" fontId="2" fillId="4" borderId="1" xfId="1" applyFont="1" applyFill="1" applyBorder="1" applyAlignment="1">
      <alignment horizontal="center" vertical="center"/>
    </xf>
    <xf numFmtId="164" fontId="2" fillId="4" borderId="3" xfId="1" applyFont="1" applyFill="1" applyBorder="1" applyAlignment="1">
      <alignment horizontal="center" vertical="center"/>
    </xf>
    <xf numFmtId="166" fontId="6" fillId="0" borderId="12" xfId="1" applyNumberFormat="1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" fillId="4" borderId="14" xfId="1" applyFont="1" applyFill="1" applyBorder="1" applyAlignment="1">
      <alignment horizontal="center" vertical="center"/>
    </xf>
    <xf numFmtId="164" fontId="2" fillId="4" borderId="15" xfId="1" applyFont="1" applyFill="1" applyBorder="1" applyAlignment="1">
      <alignment horizontal="center" vertical="center"/>
    </xf>
    <xf numFmtId="164" fontId="2" fillId="4" borderId="16" xfId="1" applyFont="1" applyFill="1" applyBorder="1" applyAlignment="1">
      <alignment horizontal="center" vertical="center"/>
    </xf>
    <xf numFmtId="164" fontId="2" fillId="4" borderId="2" xfId="1" applyFont="1" applyFill="1" applyBorder="1" applyAlignment="1">
      <alignment horizontal="center" vertical="center"/>
    </xf>
    <xf numFmtId="164" fontId="2" fillId="4" borderId="3" xfId="1" applyFont="1" applyFill="1" applyBorder="1" applyAlignment="1">
      <alignment horizontal="center" vertical="center"/>
    </xf>
    <xf numFmtId="164" fontId="2" fillId="4" borderId="4" xfId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99"/>
  <sheetViews>
    <sheetView tabSelected="1" zoomScale="80" zoomScaleNormal="80" workbookViewId="0">
      <pane ySplit="4" topLeftCell="A5" activePane="bottomLeft" state="frozen"/>
      <selection activeCell="B1" sqref="B1"/>
      <selection pane="bottomLeft" activeCell="H11" sqref="H11"/>
    </sheetView>
  </sheetViews>
  <sheetFormatPr defaultColWidth="9" defaultRowHeight="15.75"/>
  <cols>
    <col min="1" max="1" width="3.125" style="1" customWidth="1"/>
    <col min="2" max="2" width="47.125" style="1" customWidth="1"/>
    <col min="3" max="16" width="12" style="1" customWidth="1"/>
    <col min="17" max="17" width="17" style="1" customWidth="1"/>
    <col min="18" max="18" width="11.75" style="1" customWidth="1"/>
    <col min="19" max="19" width="11.875" style="1" customWidth="1"/>
    <col min="20" max="20" width="25.125" style="1" customWidth="1"/>
    <col min="21" max="16384" width="9" style="1"/>
  </cols>
  <sheetData>
    <row r="2" spans="2:20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84"/>
    </row>
    <row r="4" spans="2:20" s="3" customFormat="1" ht="30.75" customHeight="1">
      <c r="B4" s="2" t="s">
        <v>1</v>
      </c>
      <c r="C4" s="2" t="s">
        <v>2</v>
      </c>
      <c r="D4" s="2" t="s">
        <v>34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38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111</v>
      </c>
      <c r="O4" s="2" t="s">
        <v>11</v>
      </c>
      <c r="P4" s="85"/>
      <c r="R4" s="75" t="s">
        <v>99</v>
      </c>
      <c r="S4" s="76"/>
      <c r="T4" s="77"/>
    </row>
    <row r="5" spans="2:20" s="3" customFormat="1" ht="31.5" customHeight="1" thickBot="1">
      <c r="B5" s="4"/>
      <c r="C5" s="78">
        <v>2016</v>
      </c>
      <c r="D5" s="79"/>
      <c r="E5" s="79"/>
      <c r="F5" s="79"/>
      <c r="G5" s="79"/>
      <c r="H5" s="79"/>
      <c r="I5" s="79"/>
      <c r="J5" s="79"/>
      <c r="K5" s="79">
        <v>2017</v>
      </c>
      <c r="L5" s="79"/>
      <c r="M5" s="79"/>
      <c r="N5" s="72"/>
      <c r="O5" s="5"/>
      <c r="P5" s="86"/>
      <c r="R5" s="6" t="s">
        <v>33</v>
      </c>
      <c r="S5" s="7" t="s">
        <v>12</v>
      </c>
      <c r="T5" s="8" t="s">
        <v>13</v>
      </c>
    </row>
    <row r="6" spans="2:20" s="12" customFormat="1" ht="24.95" customHeight="1">
      <c r="B6" s="9" t="s">
        <v>39</v>
      </c>
      <c r="C6" s="36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87"/>
      <c r="R6" s="13"/>
      <c r="S6" s="14"/>
      <c r="T6" s="15"/>
    </row>
    <row r="7" spans="2:20" s="12" customFormat="1" ht="20.100000000000001" customHeight="1">
      <c r="B7" s="16" t="s">
        <v>40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88"/>
      <c r="R7" s="21"/>
      <c r="S7" s="22"/>
      <c r="T7" s="23"/>
    </row>
    <row r="8" spans="2:20" s="12" customFormat="1" ht="20.100000000000001" customHeight="1">
      <c r="B8" s="60" t="s">
        <v>41</v>
      </c>
      <c r="C8" s="61">
        <v>0</v>
      </c>
      <c r="D8" s="61">
        <v>0</v>
      </c>
      <c r="E8" s="61">
        <v>2000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96">
        <f>SUM(C8:N8)</f>
        <v>2000</v>
      </c>
      <c r="P8" s="95"/>
      <c r="R8" s="44">
        <f>O8</f>
        <v>2000</v>
      </c>
      <c r="S8" s="45"/>
      <c r="T8" s="25"/>
    </row>
    <row r="9" spans="2:20" s="12" customFormat="1" ht="20.100000000000001" customHeight="1">
      <c r="B9" s="24" t="s">
        <v>42</v>
      </c>
      <c r="C9" s="53">
        <v>0</v>
      </c>
      <c r="D9" s="81">
        <v>0</v>
      </c>
      <c r="E9" s="80">
        <v>1003</v>
      </c>
      <c r="F9" s="80">
        <f>439.75+130+577.98+822.53</f>
        <v>1970.26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96">
        <f>SUM(C9:N9)</f>
        <v>2973.26</v>
      </c>
      <c r="P9" s="89"/>
      <c r="Q9" s="97"/>
      <c r="R9" s="44">
        <f>O9</f>
        <v>2973.26</v>
      </c>
      <c r="S9" s="44"/>
      <c r="T9" s="26"/>
    </row>
    <row r="10" spans="2:20" s="12" customFormat="1" ht="20.100000000000001" customHeight="1">
      <c r="B10" s="27" t="s">
        <v>14</v>
      </c>
      <c r="C10" s="37">
        <f t="shared" ref="C10:N10" si="0">SUM(C8:C9)</f>
        <v>0</v>
      </c>
      <c r="D10" s="37">
        <f>SUM(D8:D9)</f>
        <v>0</v>
      </c>
      <c r="E10" s="37">
        <f t="shared" si="0"/>
        <v>3003</v>
      </c>
      <c r="F10" s="37">
        <f t="shared" si="0"/>
        <v>1970.26</v>
      </c>
      <c r="G10" s="37">
        <f t="shared" si="0"/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37">
        <f t="shared" si="0"/>
        <v>0</v>
      </c>
      <c r="L10" s="37">
        <f t="shared" si="0"/>
        <v>0</v>
      </c>
      <c r="M10" s="37">
        <f t="shared" si="0"/>
        <v>0</v>
      </c>
      <c r="N10" s="37">
        <f t="shared" si="0"/>
        <v>0</v>
      </c>
      <c r="O10" s="98">
        <f>SUM(O8:O9)</f>
        <v>4973.26</v>
      </c>
      <c r="P10" s="90"/>
      <c r="Q10" s="38"/>
      <c r="R10" s="39">
        <f>SUM(R8:R9)</f>
        <v>4973.26</v>
      </c>
      <c r="S10" s="39">
        <f>SUM(S8:S9)</f>
        <v>0</v>
      </c>
      <c r="T10" s="27"/>
    </row>
    <row r="11" spans="2:20" s="12" customFormat="1" ht="20.100000000000001" customHeight="1">
      <c r="B11" s="29" t="s">
        <v>43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9"/>
      <c r="P11" s="91"/>
      <c r="R11" s="46"/>
      <c r="S11" s="47"/>
      <c r="T11" s="23"/>
    </row>
    <row r="12" spans="2:20" s="12" customFormat="1" ht="20.100000000000001" customHeight="1">
      <c r="B12" s="62" t="s">
        <v>44</v>
      </c>
      <c r="C12" s="63"/>
      <c r="D12" s="63">
        <v>900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96">
        <f>SUM(C12:N12)</f>
        <v>900</v>
      </c>
      <c r="P12" s="89"/>
      <c r="R12" s="48">
        <f>O12</f>
        <v>900</v>
      </c>
      <c r="S12" s="48">
        <v>0</v>
      </c>
      <c r="T12" s="26"/>
    </row>
    <row r="13" spans="2:20" s="12" customFormat="1" ht="20.100000000000001" customHeight="1">
      <c r="B13" s="27" t="s">
        <v>15</v>
      </c>
      <c r="C13" s="41">
        <f t="shared" ref="C13:N13" si="1">SUM(C12:C12)</f>
        <v>0</v>
      </c>
      <c r="D13" s="41">
        <f t="shared" si="1"/>
        <v>900</v>
      </c>
      <c r="E13" s="41">
        <f t="shared" si="1"/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0</v>
      </c>
      <c r="K13" s="41">
        <f t="shared" si="1"/>
        <v>0</v>
      </c>
      <c r="L13" s="41">
        <f t="shared" si="1"/>
        <v>0</v>
      </c>
      <c r="M13" s="41">
        <f t="shared" si="1"/>
        <v>0</v>
      </c>
      <c r="N13" s="41">
        <f t="shared" si="1"/>
        <v>0</v>
      </c>
      <c r="O13" s="100">
        <f>SUM(O12:O12)</f>
        <v>900</v>
      </c>
      <c r="P13" s="92"/>
      <c r="R13" s="39">
        <f>SUM(R12:R12)</f>
        <v>900</v>
      </c>
      <c r="S13" s="39">
        <f>SUM(S12:S12)</f>
        <v>0</v>
      </c>
      <c r="T13" s="27"/>
    </row>
    <row r="14" spans="2:20" s="12" customFormat="1" ht="20.100000000000001" customHeight="1">
      <c r="B14" s="29" t="s">
        <v>45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99"/>
      <c r="P14" s="91"/>
      <c r="R14" s="46"/>
      <c r="S14" s="47"/>
      <c r="T14" s="23"/>
    </row>
    <row r="15" spans="2:20" s="12" customFormat="1" ht="20.100000000000001" customHeight="1">
      <c r="B15" s="62" t="s">
        <v>46</v>
      </c>
      <c r="C15" s="63"/>
      <c r="D15" s="63">
        <v>0</v>
      </c>
      <c r="E15" s="53">
        <v>0</v>
      </c>
      <c r="F15" s="82">
        <f>180.03+22</f>
        <v>202.03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82">
        <v>226.4</v>
      </c>
      <c r="N15" s="109">
        <v>0</v>
      </c>
      <c r="O15" s="96">
        <f>SUM(C15:N15)</f>
        <v>428.43</v>
      </c>
      <c r="P15" s="89"/>
      <c r="Q15" s="97"/>
      <c r="R15" s="48">
        <f>O15</f>
        <v>428.43</v>
      </c>
      <c r="S15" s="48">
        <v>0</v>
      </c>
      <c r="T15" s="26"/>
    </row>
    <row r="16" spans="2:20" s="12" customFormat="1" ht="20.100000000000001" customHeight="1">
      <c r="B16" s="27" t="s">
        <v>16</v>
      </c>
      <c r="C16" s="41">
        <f t="shared" ref="C16:N16" si="2">SUM(C15:C15)</f>
        <v>0</v>
      </c>
      <c r="D16" s="41">
        <f t="shared" si="2"/>
        <v>0</v>
      </c>
      <c r="E16" s="41">
        <f t="shared" si="2"/>
        <v>0</v>
      </c>
      <c r="F16" s="41">
        <f t="shared" si="2"/>
        <v>202.03</v>
      </c>
      <c r="G16" s="41">
        <f t="shared" si="2"/>
        <v>0</v>
      </c>
      <c r="H16" s="41">
        <f t="shared" si="2"/>
        <v>0</v>
      </c>
      <c r="I16" s="41">
        <f t="shared" si="2"/>
        <v>0</v>
      </c>
      <c r="J16" s="41">
        <f t="shared" si="2"/>
        <v>0</v>
      </c>
      <c r="K16" s="41">
        <f t="shared" si="2"/>
        <v>0</v>
      </c>
      <c r="L16" s="41">
        <f t="shared" si="2"/>
        <v>0</v>
      </c>
      <c r="M16" s="41">
        <f t="shared" si="2"/>
        <v>226.4</v>
      </c>
      <c r="N16" s="41">
        <f t="shared" si="2"/>
        <v>0</v>
      </c>
      <c r="O16" s="100">
        <f>SUM(O15:O15)</f>
        <v>428.43</v>
      </c>
      <c r="P16" s="92"/>
      <c r="R16" s="39">
        <f>SUM(R15:R15)</f>
        <v>428.43</v>
      </c>
      <c r="S16" s="39">
        <f>SUM(S15:S15)</f>
        <v>0</v>
      </c>
      <c r="T16" s="27"/>
    </row>
    <row r="17" spans="2:20" s="12" customFormat="1" ht="20.100000000000001" customHeight="1">
      <c r="B17" s="29" t="s">
        <v>48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99"/>
      <c r="P17" s="91"/>
      <c r="R17" s="46"/>
      <c r="S17" s="47"/>
      <c r="T17" s="23"/>
    </row>
    <row r="18" spans="2:20" s="12" customFormat="1" ht="20.100000000000001" customHeight="1">
      <c r="B18" s="30" t="s">
        <v>47</v>
      </c>
      <c r="C18" s="56"/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970.75</v>
      </c>
      <c r="N18" s="43">
        <v>0</v>
      </c>
      <c r="O18" s="96">
        <f>SUM(C18:N18)</f>
        <v>970.75</v>
      </c>
      <c r="P18" s="89"/>
      <c r="R18" s="48">
        <f>O18</f>
        <v>970.75</v>
      </c>
      <c r="S18" s="48">
        <v>0</v>
      </c>
      <c r="T18" s="26"/>
    </row>
    <row r="19" spans="2:20" s="12" customFormat="1" ht="20.100000000000001" customHeight="1">
      <c r="B19" s="27" t="s">
        <v>17</v>
      </c>
      <c r="C19" s="41">
        <f t="shared" ref="C19:N19" si="3">SUM(C18:C18)</f>
        <v>0</v>
      </c>
      <c r="D19" s="41">
        <f t="shared" si="3"/>
        <v>0</v>
      </c>
      <c r="E19" s="41">
        <f t="shared" si="3"/>
        <v>0</v>
      </c>
      <c r="F19" s="41">
        <f t="shared" si="3"/>
        <v>0</v>
      </c>
      <c r="G19" s="41">
        <f t="shared" si="3"/>
        <v>0</v>
      </c>
      <c r="H19" s="41">
        <f t="shared" si="3"/>
        <v>0</v>
      </c>
      <c r="I19" s="41">
        <f t="shared" si="3"/>
        <v>0</v>
      </c>
      <c r="J19" s="41">
        <f t="shared" si="3"/>
        <v>0</v>
      </c>
      <c r="K19" s="41">
        <f t="shared" si="3"/>
        <v>0</v>
      </c>
      <c r="L19" s="41">
        <f t="shared" si="3"/>
        <v>0</v>
      </c>
      <c r="M19" s="41">
        <f t="shared" si="3"/>
        <v>970.75</v>
      </c>
      <c r="N19" s="41">
        <f t="shared" si="3"/>
        <v>0</v>
      </c>
      <c r="O19" s="41">
        <f>SUM(O18:O18)</f>
        <v>970.75</v>
      </c>
      <c r="P19" s="92"/>
      <c r="Q19" s="20"/>
      <c r="R19" s="39">
        <f>SUM(R18:R18)</f>
        <v>970.75</v>
      </c>
      <c r="S19" s="39">
        <f>SUM(S18:S18)</f>
        <v>0</v>
      </c>
      <c r="T19" s="27"/>
    </row>
    <row r="20" spans="2:20" s="12" customFormat="1" ht="20.100000000000001" customHeight="1" thickBot="1">
      <c r="B20" s="31" t="s">
        <v>18</v>
      </c>
      <c r="C20" s="42">
        <f t="shared" ref="C20:K20" si="4">C10+C13+C16+C19</f>
        <v>0</v>
      </c>
      <c r="D20" s="42">
        <f t="shared" si="4"/>
        <v>900</v>
      </c>
      <c r="E20" s="42">
        <f t="shared" si="4"/>
        <v>3003</v>
      </c>
      <c r="F20" s="42">
        <f t="shared" si="4"/>
        <v>2172.29</v>
      </c>
      <c r="G20" s="42">
        <f t="shared" si="4"/>
        <v>0</v>
      </c>
      <c r="H20" s="42">
        <f t="shared" si="4"/>
        <v>0</v>
      </c>
      <c r="I20" s="42">
        <f t="shared" si="4"/>
        <v>0</v>
      </c>
      <c r="J20" s="42">
        <f t="shared" si="4"/>
        <v>0</v>
      </c>
      <c r="K20" s="42">
        <f t="shared" si="4"/>
        <v>0</v>
      </c>
      <c r="L20" s="42">
        <f t="shared" ref="L20:M20" si="5">L10+L13+L16+L19</f>
        <v>0</v>
      </c>
      <c r="M20" s="42">
        <f t="shared" si="5"/>
        <v>1197.1500000000001</v>
      </c>
      <c r="N20" s="42"/>
      <c r="O20" s="42">
        <f>O10+O13+O16+O19</f>
        <v>7272.4400000000005</v>
      </c>
      <c r="P20" s="93"/>
      <c r="R20" s="42">
        <f>R10+R13+R16+R19</f>
        <v>7272.4400000000005</v>
      </c>
      <c r="S20" s="42">
        <f>S10+S13+S16+S19</f>
        <v>0</v>
      </c>
      <c r="T20" s="32"/>
    </row>
    <row r="21" spans="2:20" s="12" customFormat="1" ht="24.95" customHeight="1">
      <c r="B21" s="9" t="s">
        <v>49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94"/>
      <c r="R21" s="49"/>
      <c r="S21" s="50"/>
      <c r="T21" s="15"/>
    </row>
    <row r="22" spans="2:20" s="12" customFormat="1" ht="20.100000000000001" customHeight="1">
      <c r="B22" s="16" t="s">
        <v>50</v>
      </c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55"/>
      <c r="P22" s="91"/>
      <c r="Q22" s="20"/>
      <c r="R22" s="46"/>
      <c r="S22" s="47"/>
      <c r="T22" s="23"/>
    </row>
    <row r="23" spans="2:20" s="12" customFormat="1" ht="20.100000000000001" customHeight="1">
      <c r="B23" s="60" t="s">
        <v>51</v>
      </c>
      <c r="C23" s="43">
        <v>0</v>
      </c>
      <c r="D23" s="48">
        <f>19149/2</f>
        <v>9574.5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0">
        <f>SUM(C23:N23)</f>
        <v>9574.5</v>
      </c>
      <c r="P23" s="89"/>
      <c r="R23" s="44">
        <v>0</v>
      </c>
      <c r="S23" s="44">
        <f>D23</f>
        <v>9574.5</v>
      </c>
      <c r="T23" s="26" t="s">
        <v>52</v>
      </c>
    </row>
    <row r="24" spans="2:20" s="12" customFormat="1" ht="20.100000000000001" customHeight="1">
      <c r="B24" s="60" t="s">
        <v>53</v>
      </c>
      <c r="C24" s="43">
        <v>0</v>
      </c>
      <c r="D24" s="48">
        <v>0</v>
      </c>
      <c r="E24" s="43">
        <f>E23*0.3</f>
        <v>0</v>
      </c>
      <c r="F24" s="43">
        <v>0</v>
      </c>
      <c r="G24" s="43">
        <f>G23*0.3</f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1461.25</v>
      </c>
      <c r="N24" s="43">
        <v>0</v>
      </c>
      <c r="O24" s="40">
        <f>SUM(C24:N24)</f>
        <v>1461.25</v>
      </c>
      <c r="P24" s="89"/>
      <c r="R24" s="44">
        <f>O24</f>
        <v>1461.25</v>
      </c>
      <c r="S24" s="44">
        <v>0</v>
      </c>
      <c r="T24" s="26"/>
    </row>
    <row r="25" spans="2:20" s="12" customFormat="1" ht="20.100000000000001" customHeight="1">
      <c r="B25" s="27" t="s">
        <v>19</v>
      </c>
      <c r="C25" s="37">
        <f t="shared" ref="C25:K25" si="6">SUM(C23:C24)</f>
        <v>0</v>
      </c>
      <c r="D25" s="37">
        <f t="shared" si="6"/>
        <v>9574.5</v>
      </c>
      <c r="E25" s="37">
        <f t="shared" si="6"/>
        <v>0</v>
      </c>
      <c r="F25" s="37">
        <f t="shared" si="6"/>
        <v>0</v>
      </c>
      <c r="G25" s="37">
        <f t="shared" si="6"/>
        <v>0</v>
      </c>
      <c r="H25" s="37">
        <f t="shared" si="6"/>
        <v>0</v>
      </c>
      <c r="I25" s="37">
        <f t="shared" si="6"/>
        <v>0</v>
      </c>
      <c r="J25" s="37">
        <f t="shared" si="6"/>
        <v>0</v>
      </c>
      <c r="K25" s="37">
        <f t="shared" si="6"/>
        <v>0</v>
      </c>
      <c r="L25" s="37">
        <f t="shared" ref="L25:M25" si="7">SUM(L23:L24)</f>
        <v>0</v>
      </c>
      <c r="M25" s="37">
        <f>SUM(M23:M24)</f>
        <v>1461.25</v>
      </c>
      <c r="N25" s="37">
        <f>SUM(N23:N24)</f>
        <v>0</v>
      </c>
      <c r="O25" s="37">
        <f>SUM(O23:O24)</f>
        <v>11035.75</v>
      </c>
      <c r="P25" s="90"/>
      <c r="Q25" s="28"/>
      <c r="R25" s="39">
        <f>SUM(R23:R24)</f>
        <v>1461.25</v>
      </c>
      <c r="S25" s="39">
        <f>SUM(S23:S24)</f>
        <v>9574.5</v>
      </c>
      <c r="T25" s="27"/>
    </row>
    <row r="26" spans="2:20" s="12" customFormat="1" ht="20.100000000000001" customHeight="1">
      <c r="B26" s="29" t="s">
        <v>54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91"/>
      <c r="R26" s="46"/>
      <c r="S26" s="47"/>
      <c r="T26" s="23"/>
    </row>
    <row r="27" spans="2:20" s="12" customFormat="1" ht="20.100000000000001" customHeight="1">
      <c r="B27" s="62" t="s">
        <v>55</v>
      </c>
      <c r="C27" s="56"/>
      <c r="D27" s="56"/>
      <c r="E27" s="43"/>
      <c r="F27" s="43">
        <v>2128</v>
      </c>
      <c r="G27" s="43">
        <v>2128</v>
      </c>
      <c r="H27" s="43">
        <v>2128</v>
      </c>
      <c r="I27" s="43">
        <v>2128</v>
      </c>
      <c r="J27" s="43">
        <v>2128</v>
      </c>
      <c r="K27" s="43">
        <v>2128</v>
      </c>
      <c r="L27" s="43">
        <v>2128</v>
      </c>
      <c r="M27" s="43">
        <v>2128</v>
      </c>
      <c r="N27" s="43">
        <v>0</v>
      </c>
      <c r="O27" s="40">
        <f>SUM(C27:N27)</f>
        <v>17024</v>
      </c>
      <c r="P27" s="89"/>
      <c r="R27" s="48">
        <v>0</v>
      </c>
      <c r="S27" s="48">
        <f>O27</f>
        <v>17024</v>
      </c>
      <c r="T27" s="26" t="s">
        <v>52</v>
      </c>
    </row>
    <row r="28" spans="2:20" s="12" customFormat="1" ht="20.100000000000001" customHeight="1">
      <c r="B28" s="27" t="s">
        <v>20</v>
      </c>
      <c r="C28" s="41">
        <f t="shared" ref="C28:K28" si="8">SUM(C27:C27)</f>
        <v>0</v>
      </c>
      <c r="D28" s="41">
        <f t="shared" si="8"/>
        <v>0</v>
      </c>
      <c r="E28" s="41">
        <f t="shared" si="8"/>
        <v>0</v>
      </c>
      <c r="F28" s="41">
        <f t="shared" si="8"/>
        <v>2128</v>
      </c>
      <c r="G28" s="41">
        <f t="shared" si="8"/>
        <v>2128</v>
      </c>
      <c r="H28" s="41">
        <f t="shared" si="8"/>
        <v>2128</v>
      </c>
      <c r="I28" s="41">
        <f t="shared" si="8"/>
        <v>2128</v>
      </c>
      <c r="J28" s="41">
        <f t="shared" si="8"/>
        <v>2128</v>
      </c>
      <c r="K28" s="41">
        <f t="shared" si="8"/>
        <v>2128</v>
      </c>
      <c r="L28" s="41">
        <f t="shared" ref="L28:N28" si="9">SUM(L27:L27)</f>
        <v>2128</v>
      </c>
      <c r="M28" s="41">
        <f t="shared" si="9"/>
        <v>2128</v>
      </c>
      <c r="N28" s="41">
        <f t="shared" si="9"/>
        <v>0</v>
      </c>
      <c r="O28" s="41">
        <f>SUM(O27:O27)</f>
        <v>17024</v>
      </c>
      <c r="P28" s="92"/>
      <c r="R28" s="39">
        <f>SUM(R27:R27)</f>
        <v>0</v>
      </c>
      <c r="S28" s="39">
        <f>SUM(S27:S27)</f>
        <v>17024</v>
      </c>
      <c r="T28" s="27"/>
    </row>
    <row r="29" spans="2:20" s="12" customFormat="1" ht="20.100000000000001" customHeight="1">
      <c r="B29" s="29" t="s">
        <v>56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91"/>
      <c r="R29" s="46"/>
      <c r="S29" s="47"/>
      <c r="T29" s="23"/>
    </row>
    <row r="30" spans="2:20" s="12" customFormat="1" ht="20.100000000000001" customHeight="1">
      <c r="B30" s="62" t="s">
        <v>57</v>
      </c>
      <c r="C30" s="56">
        <v>0</v>
      </c>
      <c r="D30" s="56">
        <f>1303</f>
        <v>1303</v>
      </c>
      <c r="E30" s="56">
        <v>1303</v>
      </c>
      <c r="F30" s="56">
        <v>1303</v>
      </c>
      <c r="G30" s="56">
        <v>1303</v>
      </c>
      <c r="H30" s="56">
        <v>1303</v>
      </c>
      <c r="I30" s="56">
        <v>1303</v>
      </c>
      <c r="J30" s="56">
        <v>1303</v>
      </c>
      <c r="K30" s="56">
        <v>1303</v>
      </c>
      <c r="L30" s="56">
        <v>1303</v>
      </c>
      <c r="M30" s="56">
        <v>1303</v>
      </c>
      <c r="N30" s="43">
        <v>0</v>
      </c>
      <c r="O30" s="40">
        <f>SUM(C30:N30)</f>
        <v>13030</v>
      </c>
      <c r="P30" s="89"/>
      <c r="R30" s="48">
        <v>0</v>
      </c>
      <c r="S30" s="48">
        <f>O30</f>
        <v>13030</v>
      </c>
      <c r="T30" s="26" t="s">
        <v>35</v>
      </c>
    </row>
    <row r="31" spans="2:20" s="12" customFormat="1" ht="20.100000000000001" customHeight="1">
      <c r="B31" s="62" t="s">
        <v>98</v>
      </c>
      <c r="C31" s="56">
        <v>0</v>
      </c>
      <c r="D31" s="56">
        <f>1303*3/5</f>
        <v>781.8</v>
      </c>
      <c r="E31" s="56">
        <f t="shared" ref="E31:M31" si="10">1303*3/5</f>
        <v>781.8</v>
      </c>
      <c r="F31" s="56">
        <f t="shared" si="10"/>
        <v>781.8</v>
      </c>
      <c r="G31" s="56">
        <f t="shared" si="10"/>
        <v>781.8</v>
      </c>
      <c r="H31" s="56">
        <f t="shared" si="10"/>
        <v>781.8</v>
      </c>
      <c r="I31" s="56">
        <f t="shared" si="10"/>
        <v>781.8</v>
      </c>
      <c r="J31" s="56">
        <f t="shared" si="10"/>
        <v>781.8</v>
      </c>
      <c r="K31" s="56">
        <f t="shared" si="10"/>
        <v>781.8</v>
      </c>
      <c r="L31" s="56">
        <f t="shared" si="10"/>
        <v>781.8</v>
      </c>
      <c r="M31" s="56">
        <f t="shared" si="10"/>
        <v>781.8</v>
      </c>
      <c r="N31" s="43">
        <v>0</v>
      </c>
      <c r="O31" s="40">
        <f t="shared" ref="O31:O35" si="11">SUM(C31:N31)</f>
        <v>7818.0000000000009</v>
      </c>
      <c r="P31" s="89"/>
      <c r="R31" s="48">
        <v>0</v>
      </c>
      <c r="S31" s="48">
        <f>O31</f>
        <v>7818.0000000000009</v>
      </c>
      <c r="T31" s="26"/>
    </row>
    <row r="32" spans="2:20" s="12" customFormat="1" ht="20.100000000000001" customHeight="1">
      <c r="B32" s="26" t="s">
        <v>102</v>
      </c>
      <c r="C32" s="56">
        <v>0</v>
      </c>
      <c r="D32" s="68">
        <v>301</v>
      </c>
      <c r="E32" s="68">
        <v>301</v>
      </c>
      <c r="F32" s="68">
        <v>301</v>
      </c>
      <c r="G32" s="68">
        <v>301</v>
      </c>
      <c r="H32" s="68">
        <v>301</v>
      </c>
      <c r="I32" s="68">
        <v>301</v>
      </c>
      <c r="J32" s="68">
        <v>301</v>
      </c>
      <c r="K32" s="68">
        <v>301</v>
      </c>
      <c r="L32" s="68">
        <v>301</v>
      </c>
      <c r="M32" s="68">
        <v>301</v>
      </c>
      <c r="N32" s="70">
        <v>0</v>
      </c>
      <c r="O32" s="40">
        <f t="shared" si="11"/>
        <v>3010</v>
      </c>
      <c r="P32" s="89"/>
      <c r="Q32" s="97"/>
      <c r="R32" s="48">
        <f>O32</f>
        <v>3010</v>
      </c>
      <c r="S32" s="48"/>
      <c r="T32" s="26"/>
    </row>
    <row r="33" spans="2:20" s="12" customFormat="1" ht="20.100000000000001" customHeight="1">
      <c r="B33" s="26" t="s">
        <v>104</v>
      </c>
      <c r="C33" s="56">
        <v>0</v>
      </c>
      <c r="D33" s="83">
        <v>407.77</v>
      </c>
      <c r="E33" s="83">
        <v>398.48</v>
      </c>
      <c r="F33" s="83">
        <v>465.63</v>
      </c>
      <c r="G33" s="83">
        <v>488.37</v>
      </c>
      <c r="H33" s="83">
        <f>2100/4.22</f>
        <v>497.63033175355451</v>
      </c>
      <c r="I33" s="80">
        <v>0</v>
      </c>
      <c r="J33" s="80">
        <f>2100/3.84</f>
        <v>546.875</v>
      </c>
      <c r="K33" s="83">
        <f>2100/4.27</f>
        <v>491.80327868852464</v>
      </c>
      <c r="L33" s="68">
        <v>0</v>
      </c>
      <c r="M33" s="68">
        <v>0</v>
      </c>
      <c r="N33" s="70">
        <v>0</v>
      </c>
      <c r="O33" s="40">
        <f t="shared" si="11"/>
        <v>3296.558610442079</v>
      </c>
      <c r="P33" s="89"/>
      <c r="Q33" s="97"/>
      <c r="R33" s="44">
        <f>O33</f>
        <v>3296.558610442079</v>
      </c>
      <c r="S33" s="44"/>
      <c r="T33" s="26"/>
    </row>
    <row r="34" spans="2:20" s="12" customFormat="1" ht="20.100000000000001" customHeight="1">
      <c r="B34" s="26" t="s">
        <v>103</v>
      </c>
      <c r="C34" s="56">
        <v>0</v>
      </c>
      <c r="D34" s="68">
        <v>0</v>
      </c>
      <c r="E34" s="68">
        <v>0</v>
      </c>
      <c r="F34" s="68">
        <v>0</v>
      </c>
      <c r="G34" s="83">
        <v>443.41</v>
      </c>
      <c r="H34" s="83">
        <f>1906.67/4.22</f>
        <v>451.81753554502376</v>
      </c>
      <c r="I34" s="80">
        <v>0</v>
      </c>
      <c r="J34" s="80">
        <f>1906.67/3.84</f>
        <v>496.52864583333337</v>
      </c>
      <c r="K34" s="80">
        <f t="shared" ref="K34" si="12">K33*0.3</f>
        <v>147.54098360655738</v>
      </c>
      <c r="L34" s="68"/>
      <c r="M34" s="68"/>
      <c r="N34" s="70">
        <v>0</v>
      </c>
      <c r="O34" s="40">
        <f t="shared" si="11"/>
        <v>1539.2971649849146</v>
      </c>
      <c r="P34" s="89"/>
      <c r="Q34" s="97"/>
      <c r="R34" s="44">
        <f>O34</f>
        <v>1539.2971649849146</v>
      </c>
      <c r="S34" s="44"/>
      <c r="T34" s="26"/>
    </row>
    <row r="35" spans="2:20" s="12" customFormat="1" ht="20.100000000000001" customHeight="1">
      <c r="B35" s="27" t="s">
        <v>21</v>
      </c>
      <c r="C35" s="41">
        <f>SUM(C30:C34)</f>
        <v>0</v>
      </c>
      <c r="D35" s="41">
        <f t="shared" ref="D35:M35" si="13">SUM(D30:D34)</f>
        <v>2793.57</v>
      </c>
      <c r="E35" s="41">
        <f t="shared" si="13"/>
        <v>2784.28</v>
      </c>
      <c r="F35" s="41">
        <f t="shared" si="13"/>
        <v>2851.4300000000003</v>
      </c>
      <c r="G35" s="41">
        <f t="shared" si="13"/>
        <v>3317.58</v>
      </c>
      <c r="H35" s="41">
        <f t="shared" si="13"/>
        <v>3335.2478672985785</v>
      </c>
      <c r="I35" s="41">
        <f t="shared" si="13"/>
        <v>2385.8000000000002</v>
      </c>
      <c r="J35" s="41">
        <f t="shared" si="13"/>
        <v>3429.2036458333337</v>
      </c>
      <c r="K35" s="41">
        <f t="shared" si="13"/>
        <v>3025.1442622950822</v>
      </c>
      <c r="L35" s="41">
        <f t="shared" si="13"/>
        <v>2385.8000000000002</v>
      </c>
      <c r="M35" s="41">
        <f>SUM(M30:M34)</f>
        <v>2385.8000000000002</v>
      </c>
      <c r="N35" s="41">
        <f>SUM(N30:N34)</f>
        <v>0</v>
      </c>
      <c r="O35" s="40">
        <f t="shared" si="11"/>
        <v>28693.855775426993</v>
      </c>
      <c r="P35" s="92"/>
      <c r="R35" s="39">
        <f>SUM(R30:R34)</f>
        <v>7845.8557754269932</v>
      </c>
      <c r="S35" s="39">
        <f>SUM(S30:S32)</f>
        <v>20848</v>
      </c>
      <c r="T35" s="27"/>
    </row>
    <row r="36" spans="2:20" s="12" customFormat="1" ht="20.100000000000001" customHeight="1" thickBot="1">
      <c r="B36" s="31" t="s">
        <v>22</v>
      </c>
      <c r="C36" s="42">
        <f>C25+C28+C35</f>
        <v>0</v>
      </c>
      <c r="D36" s="42">
        <f t="shared" ref="D36:S36" si="14">D25+D28+D35</f>
        <v>12368.07</v>
      </c>
      <c r="E36" s="42">
        <f t="shared" si="14"/>
        <v>2784.28</v>
      </c>
      <c r="F36" s="42">
        <f t="shared" si="14"/>
        <v>4979.43</v>
      </c>
      <c r="G36" s="42">
        <f t="shared" si="14"/>
        <v>5445.58</v>
      </c>
      <c r="H36" s="42">
        <f t="shared" si="14"/>
        <v>5463.2478672985781</v>
      </c>
      <c r="I36" s="42">
        <f t="shared" si="14"/>
        <v>4513.8</v>
      </c>
      <c r="J36" s="42">
        <f t="shared" si="14"/>
        <v>5557.2036458333332</v>
      </c>
      <c r="K36" s="42">
        <f t="shared" si="14"/>
        <v>5153.1442622950817</v>
      </c>
      <c r="L36" s="42">
        <f t="shared" si="14"/>
        <v>4513.8</v>
      </c>
      <c r="M36" s="42">
        <f t="shared" si="14"/>
        <v>5975.05</v>
      </c>
      <c r="N36" s="42">
        <f t="shared" si="14"/>
        <v>0</v>
      </c>
      <c r="O36" s="42">
        <f>O25+O28+O35</f>
        <v>56753.605775426993</v>
      </c>
      <c r="P36" s="93"/>
      <c r="R36" s="42">
        <f>R25+R28+R35</f>
        <v>9307.1057754269932</v>
      </c>
      <c r="S36" s="42">
        <f t="shared" si="14"/>
        <v>47446.5</v>
      </c>
      <c r="T36" s="32"/>
    </row>
    <row r="37" spans="2:20" s="12" customFormat="1" ht="24.95" customHeight="1">
      <c r="B37" s="9" t="s">
        <v>58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94"/>
      <c r="R37" s="49"/>
      <c r="S37" s="50"/>
      <c r="T37" s="15"/>
    </row>
    <row r="38" spans="2:20" s="12" customFormat="1" ht="20.100000000000001" customHeight="1">
      <c r="B38" s="16" t="s">
        <v>59</v>
      </c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55"/>
      <c r="P38" s="91"/>
      <c r="Q38" s="20"/>
      <c r="R38" s="46"/>
      <c r="S38" s="47"/>
      <c r="T38" s="23"/>
    </row>
    <row r="39" spans="2:20" s="12" customFormat="1" ht="20.100000000000001" customHeight="1">
      <c r="B39" s="24" t="s">
        <v>100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59">
        <v>1815.09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96">
        <f>SUM(C39:N39)</f>
        <v>1815.09</v>
      </c>
      <c r="P39" s="89"/>
      <c r="Q39" s="97"/>
      <c r="R39" s="44">
        <f>O39</f>
        <v>1815.09</v>
      </c>
      <c r="S39" s="44"/>
      <c r="T39" s="33"/>
    </row>
    <row r="40" spans="2:20" s="12" customFormat="1" ht="20.100000000000001" customHeight="1">
      <c r="B40" s="24" t="s">
        <v>63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59">
        <v>450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96">
        <f t="shared" ref="O40:O50" si="15">SUM(C40:N40)</f>
        <v>450</v>
      </c>
      <c r="P40" s="89"/>
      <c r="R40" s="44">
        <f>O40</f>
        <v>450</v>
      </c>
      <c r="S40" s="44"/>
      <c r="T40" s="26"/>
    </row>
    <row r="41" spans="2:20" s="12" customFormat="1" ht="33">
      <c r="B41" s="73" t="s">
        <v>94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59">
        <v>0</v>
      </c>
      <c r="J41" s="59">
        <v>2165.1</v>
      </c>
      <c r="K41" s="43">
        <v>0</v>
      </c>
      <c r="L41" s="43">
        <v>0</v>
      </c>
      <c r="M41" s="43">
        <v>0</v>
      </c>
      <c r="N41" s="43">
        <v>0</v>
      </c>
      <c r="O41" s="96">
        <f t="shared" si="15"/>
        <v>2165.1</v>
      </c>
      <c r="P41" s="89"/>
      <c r="Q41" s="97"/>
      <c r="R41" s="44">
        <f>O41</f>
        <v>2165.1</v>
      </c>
      <c r="S41" s="44"/>
      <c r="T41" s="26"/>
    </row>
    <row r="42" spans="2:20" s="12" customFormat="1" ht="20.100000000000001" customHeight="1">
      <c r="B42" s="24" t="s">
        <v>64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80">
        <f>4877.72/4.21</f>
        <v>1158.6033254156771</v>
      </c>
      <c r="J42" s="59">
        <v>0</v>
      </c>
      <c r="K42" s="43">
        <v>0</v>
      </c>
      <c r="L42" s="43">
        <v>0</v>
      </c>
      <c r="M42" s="43">
        <v>0</v>
      </c>
      <c r="N42" s="43">
        <v>0</v>
      </c>
      <c r="O42" s="96">
        <f t="shared" si="15"/>
        <v>1158.6033254156771</v>
      </c>
      <c r="P42" s="89"/>
      <c r="Q42" s="97"/>
      <c r="R42" s="44">
        <f>O42</f>
        <v>1158.6033254156771</v>
      </c>
      <c r="S42" s="44"/>
      <c r="T42" s="26"/>
    </row>
    <row r="43" spans="2:20" s="12" customFormat="1" ht="20.100000000000001" customHeight="1">
      <c r="B43" s="24" t="s">
        <v>65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59">
        <v>389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96">
        <f t="shared" si="15"/>
        <v>389</v>
      </c>
      <c r="P43" s="89"/>
      <c r="Q43" s="97"/>
      <c r="R43" s="44">
        <f>O43</f>
        <v>389</v>
      </c>
      <c r="S43" s="44"/>
      <c r="T43" s="26"/>
    </row>
    <row r="44" spans="2:20" s="12" customFormat="1" ht="20.100000000000001" customHeight="1">
      <c r="B44" s="24" t="s">
        <v>66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59">
        <v>664.91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96">
        <f t="shared" si="15"/>
        <v>664.91</v>
      </c>
      <c r="P44" s="89"/>
      <c r="Q44" s="97"/>
      <c r="R44" s="44">
        <f>O44</f>
        <v>664.91</v>
      </c>
      <c r="S44" s="44"/>
    </row>
    <row r="45" spans="2:20" s="12" customFormat="1" ht="33">
      <c r="B45" s="73" t="s">
        <v>67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59">
        <v>720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96">
        <f t="shared" si="15"/>
        <v>720</v>
      </c>
      <c r="P45" s="89"/>
      <c r="R45" s="44">
        <v>0</v>
      </c>
      <c r="S45" s="44">
        <f>O45</f>
        <v>720</v>
      </c>
      <c r="T45" s="26" t="s">
        <v>35</v>
      </c>
    </row>
    <row r="46" spans="2:20" s="12" customFormat="1" ht="20.100000000000001" customHeight="1">
      <c r="B46" s="24" t="s">
        <v>68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59">
        <v>1483.44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96">
        <f t="shared" si="15"/>
        <v>1483.44</v>
      </c>
      <c r="P46" s="89"/>
      <c r="Q46" s="97"/>
      <c r="R46" s="44">
        <f>O46</f>
        <v>1483.44</v>
      </c>
      <c r="S46" s="44"/>
      <c r="T46" s="26"/>
    </row>
    <row r="47" spans="2:20" s="12" customFormat="1" ht="20.100000000000001" customHeight="1">
      <c r="B47" s="24" t="s">
        <v>69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59">
        <v>3350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96">
        <f t="shared" si="15"/>
        <v>3350</v>
      </c>
      <c r="P47" s="89"/>
      <c r="R47" s="44">
        <v>0</v>
      </c>
      <c r="S47" s="44">
        <f>I47</f>
        <v>3350</v>
      </c>
      <c r="T47" s="26" t="s">
        <v>35</v>
      </c>
    </row>
    <row r="48" spans="2:20" s="12" customFormat="1" ht="20.100000000000001" customHeight="1">
      <c r="B48" s="24" t="s">
        <v>70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59">
        <v>1775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96">
        <f t="shared" si="15"/>
        <v>1775</v>
      </c>
      <c r="P48" s="89"/>
      <c r="R48" s="44">
        <v>0</v>
      </c>
      <c r="S48" s="44">
        <f>I48</f>
        <v>1775</v>
      </c>
      <c r="T48" s="26" t="s">
        <v>35</v>
      </c>
    </row>
    <row r="49" spans="2:20" s="12" customFormat="1" ht="20.100000000000001" customHeight="1">
      <c r="B49" s="24" t="s">
        <v>71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59">
        <v>350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96">
        <f t="shared" si="15"/>
        <v>350</v>
      </c>
      <c r="P49" s="89"/>
      <c r="R49" s="44">
        <f>O49</f>
        <v>350</v>
      </c>
      <c r="S49" s="44"/>
      <c r="T49" s="26"/>
    </row>
    <row r="50" spans="2:20" s="12" customFormat="1" ht="20.100000000000001" customHeight="1">
      <c r="B50" s="24" t="s">
        <v>101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59">
        <v>800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96">
        <f t="shared" si="15"/>
        <v>800</v>
      </c>
      <c r="P50" s="89"/>
      <c r="R50" s="44">
        <f>O50</f>
        <v>800</v>
      </c>
      <c r="S50" s="44"/>
      <c r="T50" s="26"/>
    </row>
    <row r="51" spans="2:20" s="12" customFormat="1" ht="20.100000000000001" customHeight="1">
      <c r="B51" s="27" t="s">
        <v>23</v>
      </c>
      <c r="C51" s="37">
        <f>SUM(C39:C49)</f>
        <v>0</v>
      </c>
      <c r="D51" s="37">
        <f t="shared" ref="D51:S51" si="16">SUM(D39:D49)</f>
        <v>0</v>
      </c>
      <c r="E51" s="37">
        <f t="shared" si="16"/>
        <v>0</v>
      </c>
      <c r="F51" s="37">
        <f t="shared" si="16"/>
        <v>0</v>
      </c>
      <c r="G51" s="37">
        <f t="shared" si="16"/>
        <v>0</v>
      </c>
      <c r="H51" s="37">
        <f t="shared" si="16"/>
        <v>0</v>
      </c>
      <c r="I51" s="37">
        <f>SUM(I39:I50)</f>
        <v>12956.043325415678</v>
      </c>
      <c r="J51" s="37">
        <f t="shared" si="16"/>
        <v>2165.1</v>
      </c>
      <c r="K51" s="37">
        <f t="shared" si="16"/>
        <v>0</v>
      </c>
      <c r="L51" s="37">
        <f t="shared" si="16"/>
        <v>0</v>
      </c>
      <c r="M51" s="37">
        <f t="shared" si="16"/>
        <v>0</v>
      </c>
      <c r="N51" s="37">
        <f t="shared" si="16"/>
        <v>0</v>
      </c>
      <c r="O51" s="37">
        <f>SUM(O39:O50)</f>
        <v>15121.143325415678</v>
      </c>
      <c r="P51" s="90"/>
      <c r="Q51" s="28"/>
      <c r="R51" s="37">
        <f>SUM(R39:R50)</f>
        <v>9276.1433254156782</v>
      </c>
      <c r="S51" s="37">
        <f t="shared" si="16"/>
        <v>5845</v>
      </c>
      <c r="T51" s="27"/>
    </row>
    <row r="52" spans="2:20" s="12" customFormat="1" ht="20.100000000000001" customHeight="1">
      <c r="B52" s="64" t="s">
        <v>60</v>
      </c>
      <c r="C52" s="65"/>
      <c r="D52" s="65"/>
      <c r="E52" s="65"/>
      <c r="F52" s="65"/>
      <c r="G52" s="65"/>
      <c r="H52" s="65"/>
      <c r="I52" s="65"/>
      <c r="J52" s="65"/>
      <c r="K52" s="65"/>
      <c r="L52" s="54"/>
      <c r="M52" s="54"/>
      <c r="N52" s="54"/>
      <c r="O52" s="55"/>
      <c r="P52" s="91"/>
      <c r="R52" s="46"/>
      <c r="S52" s="47"/>
      <c r="T52" s="23"/>
    </row>
    <row r="53" spans="2:20" s="12" customFormat="1" ht="20.100000000000001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56"/>
      <c r="M53" s="56"/>
      <c r="N53" s="43"/>
      <c r="O53" s="40">
        <f>SUM(C53:M53)</f>
        <v>0</v>
      </c>
      <c r="P53" s="89"/>
      <c r="R53" s="44">
        <f>SUM(G53:L53)</f>
        <v>0</v>
      </c>
      <c r="S53" s="48"/>
      <c r="T53" s="26"/>
    </row>
    <row r="54" spans="2:20" s="12" customFormat="1" ht="20.100000000000001" customHeight="1">
      <c r="B54" s="66" t="s">
        <v>24</v>
      </c>
      <c r="C54" s="67">
        <f t="shared" ref="C54:N54" si="17">SUM(C53:C53)</f>
        <v>0</v>
      </c>
      <c r="D54" s="67">
        <f t="shared" si="17"/>
        <v>0</v>
      </c>
      <c r="E54" s="67">
        <f t="shared" si="17"/>
        <v>0</v>
      </c>
      <c r="F54" s="67">
        <f t="shared" si="17"/>
        <v>0</v>
      </c>
      <c r="G54" s="67">
        <f t="shared" si="17"/>
        <v>0</v>
      </c>
      <c r="H54" s="67">
        <f t="shared" si="17"/>
        <v>0</v>
      </c>
      <c r="I54" s="67">
        <f t="shared" si="17"/>
        <v>0</v>
      </c>
      <c r="J54" s="67">
        <f t="shared" si="17"/>
        <v>0</v>
      </c>
      <c r="K54" s="67">
        <f t="shared" si="17"/>
        <v>0</v>
      </c>
      <c r="L54" s="67">
        <f t="shared" si="17"/>
        <v>0</v>
      </c>
      <c r="M54" s="67">
        <f t="shared" si="17"/>
        <v>0</v>
      </c>
      <c r="N54" s="67">
        <f t="shared" si="17"/>
        <v>0</v>
      </c>
      <c r="O54" s="41">
        <f>SUM(O53:O53)</f>
        <v>0</v>
      </c>
      <c r="P54" s="92"/>
      <c r="R54" s="39">
        <f>SUM(R53:R53)</f>
        <v>0</v>
      </c>
      <c r="S54" s="39">
        <f>SUM(S53:S53)</f>
        <v>0</v>
      </c>
      <c r="T54" s="27"/>
    </row>
    <row r="55" spans="2:20" s="12" customFormat="1" ht="20.100000000000001" customHeight="1">
      <c r="B55" s="64" t="s">
        <v>61</v>
      </c>
      <c r="C55" s="65"/>
      <c r="D55" s="65"/>
      <c r="E55" s="65"/>
      <c r="F55" s="65"/>
      <c r="G55" s="65"/>
      <c r="H55" s="65"/>
      <c r="I55" s="65"/>
      <c r="J55" s="65"/>
      <c r="K55" s="65"/>
      <c r="L55" s="54"/>
      <c r="M55" s="54"/>
      <c r="N55" s="54"/>
      <c r="O55" s="55"/>
      <c r="P55" s="91"/>
      <c r="R55" s="46"/>
      <c r="S55" s="47"/>
      <c r="T55" s="23"/>
    </row>
    <row r="56" spans="2:20" s="12" customFormat="1" ht="20.100000000000001" customHeight="1"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56"/>
      <c r="M56" s="56"/>
      <c r="N56" s="43"/>
      <c r="O56" s="40">
        <f t="shared" ref="O56" si="18">SUM(C56:M56)</f>
        <v>0</v>
      </c>
      <c r="P56" s="89"/>
      <c r="R56" s="48"/>
      <c r="S56" s="48">
        <f>J56</f>
        <v>0</v>
      </c>
      <c r="T56" s="26"/>
    </row>
    <row r="57" spans="2:20" s="12" customFormat="1" ht="20.100000000000001" customHeight="1">
      <c r="B57" s="27" t="s">
        <v>25</v>
      </c>
      <c r="C57" s="41">
        <f t="shared" ref="C57:N57" si="19">SUM(C56:C56)</f>
        <v>0</v>
      </c>
      <c r="D57" s="41">
        <f t="shared" si="19"/>
        <v>0</v>
      </c>
      <c r="E57" s="41">
        <f t="shared" si="19"/>
        <v>0</v>
      </c>
      <c r="F57" s="41">
        <f t="shared" si="19"/>
        <v>0</v>
      </c>
      <c r="G57" s="41">
        <f t="shared" si="19"/>
        <v>0</v>
      </c>
      <c r="H57" s="41">
        <f t="shared" si="19"/>
        <v>0</v>
      </c>
      <c r="I57" s="41">
        <f t="shared" si="19"/>
        <v>0</v>
      </c>
      <c r="J57" s="41">
        <f t="shared" si="19"/>
        <v>0</v>
      </c>
      <c r="K57" s="41">
        <f t="shared" si="19"/>
        <v>0</v>
      </c>
      <c r="L57" s="41">
        <f t="shared" si="19"/>
        <v>0</v>
      </c>
      <c r="M57" s="41">
        <f t="shared" si="19"/>
        <v>0</v>
      </c>
      <c r="N57" s="41">
        <f t="shared" si="19"/>
        <v>0</v>
      </c>
      <c r="O57" s="41">
        <f>SUM(O56:O56)</f>
        <v>0</v>
      </c>
      <c r="P57" s="92"/>
      <c r="R57" s="39">
        <f>SUM(R56:R56)</f>
        <v>0</v>
      </c>
      <c r="S57" s="39">
        <f>SUM(S56:S56)</f>
        <v>0</v>
      </c>
      <c r="T57" s="27"/>
    </row>
    <row r="58" spans="2:20" s="12" customFormat="1" ht="20.100000000000001" customHeight="1">
      <c r="B58" s="29" t="s">
        <v>62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  <c r="P58" s="91"/>
      <c r="R58" s="46"/>
      <c r="S58" s="47"/>
      <c r="T58" s="23"/>
    </row>
    <row r="59" spans="2:20" s="12" customFormat="1" ht="20.100000000000001" customHeight="1">
      <c r="B59" s="62"/>
      <c r="C59" s="63"/>
      <c r="D59" s="63"/>
      <c r="E59" s="63"/>
      <c r="F59" s="63"/>
      <c r="G59" s="63"/>
      <c r="H59" s="63"/>
      <c r="I59" s="63"/>
      <c r="J59" s="63"/>
      <c r="K59" s="56"/>
      <c r="L59" s="56"/>
      <c r="M59" s="56"/>
      <c r="N59" s="43"/>
      <c r="O59" s="40">
        <f>SUM(C59:M59)</f>
        <v>0</v>
      </c>
      <c r="P59" s="89"/>
      <c r="R59" s="68"/>
      <c r="S59" s="68"/>
      <c r="T59" s="26"/>
    </row>
    <row r="60" spans="2:20" s="12" customFormat="1" ht="20.100000000000001" customHeight="1">
      <c r="B60" s="27" t="s">
        <v>26</v>
      </c>
      <c r="C60" s="41">
        <f t="shared" ref="C60:K60" si="20">SUM(C59:C59)</f>
        <v>0</v>
      </c>
      <c r="D60" s="41">
        <f t="shared" si="20"/>
        <v>0</v>
      </c>
      <c r="E60" s="41">
        <f t="shared" si="20"/>
        <v>0</v>
      </c>
      <c r="F60" s="41">
        <f t="shared" si="20"/>
        <v>0</v>
      </c>
      <c r="G60" s="41">
        <f t="shared" si="20"/>
        <v>0</v>
      </c>
      <c r="H60" s="41">
        <f t="shared" si="20"/>
        <v>0</v>
      </c>
      <c r="I60" s="41">
        <f t="shared" si="20"/>
        <v>0</v>
      </c>
      <c r="J60" s="41">
        <f t="shared" si="20"/>
        <v>0</v>
      </c>
      <c r="K60" s="41">
        <f>SUM(K59:K59)</f>
        <v>0</v>
      </c>
      <c r="L60" s="41">
        <f t="shared" ref="L60:N60" si="21">SUM(L59:L59)</f>
        <v>0</v>
      </c>
      <c r="M60" s="41">
        <f t="shared" si="21"/>
        <v>0</v>
      </c>
      <c r="N60" s="41">
        <f t="shared" si="21"/>
        <v>0</v>
      </c>
      <c r="O60" s="41">
        <f>SUM(O59:O59)</f>
        <v>0</v>
      </c>
      <c r="P60" s="92"/>
      <c r="R60" s="39">
        <f>SUM(R59:R59)</f>
        <v>0</v>
      </c>
      <c r="S60" s="39">
        <f>SUM(S59:S59)</f>
        <v>0</v>
      </c>
      <c r="T60" s="27"/>
    </row>
    <row r="61" spans="2:20" s="12" customFormat="1" ht="20.100000000000001" customHeight="1" thickBot="1">
      <c r="B61" s="31" t="s">
        <v>27</v>
      </c>
      <c r="C61" s="42">
        <f t="shared" ref="C61:N61" si="22">C51+C54+C57+C60</f>
        <v>0</v>
      </c>
      <c r="D61" s="42">
        <f t="shared" si="22"/>
        <v>0</v>
      </c>
      <c r="E61" s="42">
        <f t="shared" si="22"/>
        <v>0</v>
      </c>
      <c r="F61" s="42">
        <f t="shared" si="22"/>
        <v>0</v>
      </c>
      <c r="G61" s="42">
        <f t="shared" si="22"/>
        <v>0</v>
      </c>
      <c r="H61" s="42">
        <f t="shared" si="22"/>
        <v>0</v>
      </c>
      <c r="I61" s="42">
        <f t="shared" si="22"/>
        <v>12956.043325415678</v>
      </c>
      <c r="J61" s="42">
        <f t="shared" si="22"/>
        <v>2165.1</v>
      </c>
      <c r="K61" s="42">
        <f t="shared" si="22"/>
        <v>0</v>
      </c>
      <c r="L61" s="42">
        <f t="shared" si="22"/>
        <v>0</v>
      </c>
      <c r="M61" s="42">
        <f t="shared" si="22"/>
        <v>0</v>
      </c>
      <c r="N61" s="42">
        <f t="shared" si="22"/>
        <v>0</v>
      </c>
      <c r="O61" s="42">
        <f>O51+O54+O57+O60</f>
        <v>15121.143325415678</v>
      </c>
      <c r="P61" s="93"/>
      <c r="R61" s="42">
        <f>R51+R54+R57+R60</f>
        <v>9276.1433254156782</v>
      </c>
      <c r="S61" s="42">
        <f>S51+S54+S57+S60</f>
        <v>5845</v>
      </c>
      <c r="T61" s="32"/>
    </row>
    <row r="62" spans="2:20" s="12" customFormat="1" ht="24.95" customHeight="1">
      <c r="B62" s="9" t="s">
        <v>72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  <c r="P62" s="94"/>
      <c r="R62" s="49"/>
      <c r="S62" s="50"/>
      <c r="T62" s="15"/>
    </row>
    <row r="63" spans="2:20" s="12" customFormat="1" ht="20.100000000000001" customHeight="1">
      <c r="B63" s="16" t="s">
        <v>73</v>
      </c>
      <c r="C63" s="46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5"/>
      <c r="P63" s="91"/>
      <c r="Q63" s="20"/>
      <c r="R63" s="46"/>
      <c r="S63" s="47"/>
      <c r="T63" s="23"/>
    </row>
    <row r="64" spans="2:20" s="12" customFormat="1" ht="20.100000000000001" customHeight="1">
      <c r="B64" s="71" t="s">
        <v>74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59">
        <v>672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0">
        <f>SUM(C64:N64)</f>
        <v>672</v>
      </c>
      <c r="P64" s="89"/>
      <c r="R64" s="44">
        <f>H64</f>
        <v>0</v>
      </c>
      <c r="S64" s="44">
        <f>I64</f>
        <v>672</v>
      </c>
      <c r="T64" s="69" t="s">
        <v>36</v>
      </c>
    </row>
    <row r="65" spans="2:20" s="12" customFormat="1" ht="20.100000000000001" customHeight="1">
      <c r="B65" s="71" t="s">
        <v>75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59">
        <v>2872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0">
        <f t="shared" ref="O65:O76" si="23">SUM(C65:N65)</f>
        <v>2872</v>
      </c>
      <c r="P65" s="89"/>
      <c r="R65" s="70">
        <f>O65</f>
        <v>2872</v>
      </c>
      <c r="S65" s="70"/>
      <c r="T65" s="26"/>
    </row>
    <row r="66" spans="2:20" s="12" customFormat="1" ht="20.100000000000001" customHeight="1">
      <c r="B66" s="24" t="s">
        <v>76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1000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0">
        <f t="shared" si="23"/>
        <v>1000</v>
      </c>
      <c r="P66" s="89"/>
      <c r="R66" s="70">
        <f>O66</f>
        <v>1000</v>
      </c>
      <c r="S66" s="44"/>
      <c r="T66" s="26"/>
    </row>
    <row r="67" spans="2:20" s="12" customFormat="1" ht="20.100000000000001" customHeight="1">
      <c r="B67" s="24" t="s">
        <v>95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f>3537</f>
        <v>3537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0">
        <f t="shared" si="23"/>
        <v>3537</v>
      </c>
      <c r="P67" s="89"/>
      <c r="R67" s="70">
        <f>O67</f>
        <v>3537</v>
      </c>
      <c r="S67" s="44"/>
      <c r="T67" s="26"/>
    </row>
    <row r="68" spans="2:20" s="12" customFormat="1" ht="20.100000000000001" customHeight="1">
      <c r="B68" s="24" t="s">
        <v>77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1004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0">
        <f t="shared" si="23"/>
        <v>1004</v>
      </c>
      <c r="P68" s="89"/>
      <c r="R68" s="70">
        <f>O68</f>
        <v>1004</v>
      </c>
      <c r="S68" s="44"/>
      <c r="T68" s="26"/>
    </row>
    <row r="69" spans="2:20" s="12" customFormat="1" ht="20.100000000000001" customHeight="1">
      <c r="B69" s="24" t="s">
        <v>83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f>29219*4/52</f>
        <v>2247.6153846153848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0">
        <f t="shared" si="23"/>
        <v>2247.6153846153848</v>
      </c>
      <c r="P69" s="89"/>
      <c r="R69" s="70">
        <v>0</v>
      </c>
      <c r="S69" s="44">
        <f>I69</f>
        <v>2247.6153846153848</v>
      </c>
      <c r="T69" s="26" t="s">
        <v>37</v>
      </c>
    </row>
    <row r="70" spans="2:20" s="12" customFormat="1" ht="20.100000000000001" customHeight="1">
      <c r="B70" s="73" t="s">
        <v>87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3031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0">
        <f t="shared" si="23"/>
        <v>3031</v>
      </c>
      <c r="P70" s="89"/>
      <c r="R70" s="44">
        <f>O70</f>
        <v>3031</v>
      </c>
      <c r="S70" s="44"/>
      <c r="T70" s="26"/>
    </row>
    <row r="71" spans="2:20" s="12" customFormat="1" ht="20.100000000000001" customHeight="1">
      <c r="B71" s="24" t="s">
        <v>88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2394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0">
        <f t="shared" si="23"/>
        <v>2394</v>
      </c>
      <c r="P71" s="89"/>
      <c r="R71" s="44">
        <f t="shared" ref="R71:R74" si="24">O71</f>
        <v>2394</v>
      </c>
      <c r="S71" s="44">
        <f>I71-R71</f>
        <v>0</v>
      </c>
      <c r="T71" s="26" t="s">
        <v>36</v>
      </c>
    </row>
    <row r="72" spans="2:20" s="12" customFormat="1" ht="20.100000000000001" customHeight="1">
      <c r="B72" s="73" t="s">
        <v>96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f>4*14*80</f>
        <v>4480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0">
        <f t="shared" si="23"/>
        <v>4480</v>
      </c>
      <c r="P72" s="89"/>
      <c r="R72" s="44">
        <f t="shared" si="24"/>
        <v>4480</v>
      </c>
      <c r="S72" s="44"/>
      <c r="T72" s="26"/>
    </row>
    <row r="73" spans="2:20" s="12" customFormat="1" ht="20.100000000000001" customHeight="1">
      <c r="B73" s="24" t="s">
        <v>89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120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0">
        <f t="shared" si="23"/>
        <v>120</v>
      </c>
      <c r="P73" s="89"/>
      <c r="R73" s="44">
        <f t="shared" si="24"/>
        <v>120</v>
      </c>
      <c r="S73" s="44"/>
      <c r="T73" s="26"/>
    </row>
    <row r="74" spans="2:20" s="12" customFormat="1" ht="20.100000000000001" customHeight="1">
      <c r="B74" s="24" t="s">
        <v>90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1716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0">
        <f t="shared" si="23"/>
        <v>1716</v>
      </c>
      <c r="P74" s="89"/>
      <c r="R74" s="44">
        <f t="shared" si="24"/>
        <v>1716</v>
      </c>
      <c r="S74" s="44"/>
      <c r="T74" s="26"/>
    </row>
    <row r="75" spans="2:20" s="12" customFormat="1" ht="20.100000000000001" customHeight="1">
      <c r="B75" s="24" t="s">
        <v>91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532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0">
        <f t="shared" si="23"/>
        <v>532</v>
      </c>
      <c r="P75" s="89"/>
      <c r="R75" s="44">
        <v>0</v>
      </c>
      <c r="S75" s="44">
        <f>I75</f>
        <v>532</v>
      </c>
      <c r="T75" s="26" t="s">
        <v>36</v>
      </c>
    </row>
    <row r="76" spans="2:20" s="12" customFormat="1" ht="20.100000000000001" customHeight="1">
      <c r="B76" s="24" t="s">
        <v>92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300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0">
        <f t="shared" si="23"/>
        <v>300</v>
      </c>
      <c r="P76" s="89"/>
      <c r="R76" s="44">
        <f>O76</f>
        <v>300</v>
      </c>
      <c r="S76" s="44"/>
      <c r="T76" s="26"/>
    </row>
    <row r="77" spans="2:20" s="12" customFormat="1" ht="20.100000000000001" customHeight="1">
      <c r="B77" s="27" t="s">
        <v>28</v>
      </c>
      <c r="C77" s="37">
        <f>SUM(C64:C76)</f>
        <v>0</v>
      </c>
      <c r="D77" s="37">
        <f t="shared" ref="D77:S77" si="25">SUM(D64:D76)</f>
        <v>0</v>
      </c>
      <c r="E77" s="37">
        <f t="shared" si="25"/>
        <v>0</v>
      </c>
      <c r="F77" s="37">
        <f t="shared" si="25"/>
        <v>0</v>
      </c>
      <c r="G77" s="37">
        <f t="shared" si="25"/>
        <v>0</v>
      </c>
      <c r="H77" s="37">
        <f t="shared" si="25"/>
        <v>0</v>
      </c>
      <c r="I77" s="37">
        <f t="shared" si="25"/>
        <v>23905.615384615383</v>
      </c>
      <c r="J77" s="37">
        <f t="shared" si="25"/>
        <v>0</v>
      </c>
      <c r="K77" s="37">
        <f t="shared" si="25"/>
        <v>0</v>
      </c>
      <c r="L77" s="37">
        <f t="shared" si="25"/>
        <v>0</v>
      </c>
      <c r="M77" s="37">
        <f t="shared" si="25"/>
        <v>0</v>
      </c>
      <c r="N77" s="37">
        <f t="shared" si="25"/>
        <v>0</v>
      </c>
      <c r="O77" s="37">
        <f>SUM(O64:O76)</f>
        <v>23905.615384615383</v>
      </c>
      <c r="P77" s="90"/>
      <c r="Q77" s="28"/>
      <c r="R77" s="37">
        <f>SUM(R64:R76)</f>
        <v>20454</v>
      </c>
      <c r="S77" s="37">
        <f t="shared" si="25"/>
        <v>3451.6153846153848</v>
      </c>
      <c r="T77" s="27"/>
    </row>
    <row r="78" spans="2:20" s="12" customFormat="1" ht="20.100000000000001" customHeight="1">
      <c r="B78" s="29" t="s">
        <v>78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  <c r="P78" s="91"/>
      <c r="R78" s="46"/>
      <c r="S78" s="47"/>
      <c r="T78" s="23"/>
    </row>
    <row r="79" spans="2:20" s="12" customFormat="1" ht="20.100000000000001" customHeight="1">
      <c r="B79" s="30" t="s">
        <v>79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56">
        <f>4255/5</f>
        <v>851</v>
      </c>
      <c r="J79" s="56">
        <f t="shared" ref="J79:M79" si="26">4255/5</f>
        <v>851</v>
      </c>
      <c r="K79" s="56">
        <f t="shared" si="26"/>
        <v>851</v>
      </c>
      <c r="L79" s="56">
        <f t="shared" si="26"/>
        <v>851</v>
      </c>
      <c r="M79" s="56">
        <f t="shared" si="26"/>
        <v>851</v>
      </c>
      <c r="N79" s="43">
        <v>0</v>
      </c>
      <c r="O79" s="96">
        <f>SUM(C79:M79)</f>
        <v>4255</v>
      </c>
      <c r="P79" s="89"/>
      <c r="R79" s="51">
        <f>O79</f>
        <v>4255</v>
      </c>
      <c r="S79" s="48"/>
      <c r="T79" s="26"/>
    </row>
    <row r="80" spans="2:20" s="12" customFormat="1" ht="20.100000000000001" customHeight="1">
      <c r="B80" s="30" t="s">
        <v>80</v>
      </c>
      <c r="C80" s="43">
        <v>0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56">
        <v>50</v>
      </c>
      <c r="J80" s="56">
        <v>50</v>
      </c>
      <c r="K80" s="56">
        <v>50</v>
      </c>
      <c r="L80" s="56">
        <v>50</v>
      </c>
      <c r="M80" s="56">
        <v>50</v>
      </c>
      <c r="N80" s="43">
        <v>0</v>
      </c>
      <c r="O80" s="96">
        <f t="shared" ref="O80:O83" si="27">SUM(C80:M80)</f>
        <v>250</v>
      </c>
      <c r="P80" s="89"/>
      <c r="R80" s="51">
        <f>O80</f>
        <v>250</v>
      </c>
      <c r="S80" s="48"/>
      <c r="T80" s="26"/>
    </row>
    <row r="81" spans="2:20" s="12" customFormat="1" ht="20.100000000000001" customHeight="1">
      <c r="B81" s="30" t="s">
        <v>81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56">
        <v>1004</v>
      </c>
      <c r="J81" s="56">
        <v>1004</v>
      </c>
      <c r="K81" s="56">
        <v>1004</v>
      </c>
      <c r="L81" s="56">
        <v>1004</v>
      </c>
      <c r="M81" s="56">
        <v>1004</v>
      </c>
      <c r="N81" s="43">
        <v>0</v>
      </c>
      <c r="O81" s="96">
        <f t="shared" si="27"/>
        <v>5020</v>
      </c>
      <c r="P81" s="89"/>
      <c r="R81" s="51">
        <v>0</v>
      </c>
      <c r="S81" s="48">
        <f>O81</f>
        <v>5020</v>
      </c>
      <c r="T81" s="26" t="s">
        <v>36</v>
      </c>
    </row>
    <row r="82" spans="2:20" s="12" customFormat="1" ht="20.100000000000001" customHeight="1">
      <c r="B82" s="30" t="s">
        <v>97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56">
        <f>1277*8/6</f>
        <v>1702.6666666666667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96">
        <f t="shared" si="27"/>
        <v>1702.6666666666667</v>
      </c>
      <c r="P82" s="89"/>
      <c r="R82" s="51">
        <f>O82</f>
        <v>1702.6666666666667</v>
      </c>
      <c r="S82" s="48"/>
      <c r="T82" s="26"/>
    </row>
    <row r="83" spans="2:20" s="12" customFormat="1" ht="20.100000000000001" customHeight="1">
      <c r="B83" s="30" t="s">
        <v>93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56">
        <f>1954/5</f>
        <v>390.8</v>
      </c>
      <c r="J83" s="56">
        <f t="shared" ref="J83:M83" si="28">1954/5</f>
        <v>390.8</v>
      </c>
      <c r="K83" s="56">
        <f t="shared" si="28"/>
        <v>390.8</v>
      </c>
      <c r="L83" s="56">
        <f t="shared" si="28"/>
        <v>390.8</v>
      </c>
      <c r="M83" s="56">
        <f t="shared" si="28"/>
        <v>390.8</v>
      </c>
      <c r="N83" s="43">
        <v>0</v>
      </c>
      <c r="O83" s="96">
        <f t="shared" si="27"/>
        <v>1954</v>
      </c>
      <c r="P83" s="89"/>
      <c r="R83" s="51">
        <f>O83</f>
        <v>1954</v>
      </c>
      <c r="S83" s="48"/>
      <c r="T83" s="26"/>
    </row>
    <row r="84" spans="2:20" s="12" customFormat="1" ht="20.100000000000001" customHeight="1">
      <c r="B84" s="27" t="s">
        <v>29</v>
      </c>
      <c r="C84" s="41">
        <f>SUM(C79:C83)</f>
        <v>0</v>
      </c>
      <c r="D84" s="41">
        <f t="shared" ref="D84:N84" si="29">SUM(D79:D83)</f>
        <v>0</v>
      </c>
      <c r="E84" s="41">
        <f t="shared" si="29"/>
        <v>0</v>
      </c>
      <c r="F84" s="41">
        <f t="shared" si="29"/>
        <v>0</v>
      </c>
      <c r="G84" s="41">
        <f t="shared" si="29"/>
        <v>0</v>
      </c>
      <c r="H84" s="41">
        <f t="shared" si="29"/>
        <v>0</v>
      </c>
      <c r="I84" s="41">
        <f t="shared" si="29"/>
        <v>3998.4666666666672</v>
      </c>
      <c r="J84" s="41">
        <f t="shared" si="29"/>
        <v>2295.8000000000002</v>
      </c>
      <c r="K84" s="41">
        <f t="shared" si="29"/>
        <v>2295.8000000000002</v>
      </c>
      <c r="L84" s="41">
        <f t="shared" si="29"/>
        <v>2295.8000000000002</v>
      </c>
      <c r="M84" s="41">
        <f t="shared" si="29"/>
        <v>2295.8000000000002</v>
      </c>
      <c r="N84" s="41">
        <f t="shared" si="29"/>
        <v>0</v>
      </c>
      <c r="O84" s="41">
        <f>SUM(O79:O83)</f>
        <v>13181.666666666666</v>
      </c>
      <c r="P84" s="92"/>
      <c r="R84" s="39">
        <f>SUM(R79:R83)</f>
        <v>8161.666666666667</v>
      </c>
      <c r="S84" s="39">
        <f>SUM(S79:S81)</f>
        <v>5020</v>
      </c>
      <c r="T84" s="27"/>
    </row>
    <row r="85" spans="2:20" s="12" customFormat="1" ht="20.100000000000001" customHeight="1">
      <c r="B85" s="29" t="s">
        <v>82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  <c r="P85" s="91"/>
      <c r="R85" s="46"/>
      <c r="S85" s="47"/>
      <c r="T85" s="23"/>
    </row>
    <row r="86" spans="2:20" s="12" customFormat="1" ht="20.100000000000001" customHeight="1">
      <c r="B86" s="30" t="s">
        <v>84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56">
        <v>1500</v>
      </c>
      <c r="L86" s="43">
        <v>0</v>
      </c>
      <c r="M86" s="43">
        <v>0</v>
      </c>
      <c r="N86" s="43">
        <v>0</v>
      </c>
      <c r="O86" s="96">
        <f>SUM(C86:N86)</f>
        <v>1500</v>
      </c>
      <c r="P86" s="89"/>
      <c r="R86" s="68">
        <f>O86</f>
        <v>1500</v>
      </c>
      <c r="S86" s="68"/>
      <c r="T86" s="26"/>
    </row>
    <row r="87" spans="2:20" s="12" customFormat="1" ht="20.100000000000001" customHeight="1">
      <c r="B87" s="30" t="s">
        <v>85</v>
      </c>
      <c r="C87" s="43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56">
        <v>2500</v>
      </c>
      <c r="M87" s="43">
        <v>0</v>
      </c>
      <c r="N87" s="43">
        <v>0</v>
      </c>
      <c r="O87" s="96">
        <f>SUM(C87:N87)</f>
        <v>2500</v>
      </c>
      <c r="P87" s="89"/>
      <c r="R87" s="68">
        <f>O87</f>
        <v>2500</v>
      </c>
      <c r="S87" s="68"/>
      <c r="T87" s="26"/>
    </row>
    <row r="88" spans="2:20" s="12" customFormat="1" ht="20.100000000000001" customHeight="1">
      <c r="B88" s="30" t="s">
        <v>86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56">
        <v>800</v>
      </c>
      <c r="N88" s="43">
        <v>0</v>
      </c>
      <c r="O88" s="96">
        <f>SUM(C88:N88)</f>
        <v>800</v>
      </c>
      <c r="P88" s="89"/>
      <c r="R88" s="68">
        <f>O88</f>
        <v>800</v>
      </c>
      <c r="S88" s="68"/>
      <c r="T88" s="26"/>
    </row>
    <row r="89" spans="2:20" s="12" customFormat="1" ht="20.100000000000001" customHeight="1">
      <c r="B89" s="27" t="s">
        <v>30</v>
      </c>
      <c r="C89" s="41">
        <f>SUM(C86:C88)</f>
        <v>0</v>
      </c>
      <c r="D89" s="41">
        <f t="shared" ref="D89:N89" si="30">SUM(D86:D88)</f>
        <v>0</v>
      </c>
      <c r="E89" s="41">
        <f t="shared" si="30"/>
        <v>0</v>
      </c>
      <c r="F89" s="41">
        <f t="shared" si="30"/>
        <v>0</v>
      </c>
      <c r="G89" s="41">
        <f t="shared" si="30"/>
        <v>0</v>
      </c>
      <c r="H89" s="41">
        <f t="shared" si="30"/>
        <v>0</v>
      </c>
      <c r="I89" s="41">
        <f t="shared" si="30"/>
        <v>0</v>
      </c>
      <c r="J89" s="41">
        <f t="shared" si="30"/>
        <v>0</v>
      </c>
      <c r="K89" s="41">
        <f t="shared" si="30"/>
        <v>1500</v>
      </c>
      <c r="L89" s="41">
        <f t="shared" si="30"/>
        <v>2500</v>
      </c>
      <c r="M89" s="41">
        <f t="shared" si="30"/>
        <v>800</v>
      </c>
      <c r="N89" s="41">
        <f t="shared" si="30"/>
        <v>0</v>
      </c>
      <c r="O89" s="41">
        <f>SUM(O86:O88)</f>
        <v>4800</v>
      </c>
      <c r="P89" s="92"/>
      <c r="R89" s="39">
        <f>SUM(R86:R88)</f>
        <v>4800</v>
      </c>
      <c r="S89" s="39">
        <f>SUM(S86:S88)</f>
        <v>0</v>
      </c>
      <c r="T89" s="27"/>
    </row>
    <row r="90" spans="2:20" s="12" customFormat="1" ht="20.100000000000001" customHeight="1">
      <c r="B90" s="29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  <c r="P90" s="91"/>
      <c r="R90" s="46"/>
      <c r="S90" s="47"/>
      <c r="T90" s="23"/>
    </row>
    <row r="91" spans="2:20" s="12" customFormat="1" ht="20.100000000000001" customHeight="1" thickBot="1">
      <c r="B91" s="102" t="s">
        <v>31</v>
      </c>
      <c r="C91" s="103">
        <f>C77+C84+C89</f>
        <v>0</v>
      </c>
      <c r="D91" s="103">
        <f t="shared" ref="D91:S91" si="31">D77+D84+D89</f>
        <v>0</v>
      </c>
      <c r="E91" s="103">
        <f t="shared" si="31"/>
        <v>0</v>
      </c>
      <c r="F91" s="103">
        <f t="shared" si="31"/>
        <v>0</v>
      </c>
      <c r="G91" s="103">
        <f t="shared" si="31"/>
        <v>0</v>
      </c>
      <c r="H91" s="103">
        <f t="shared" si="31"/>
        <v>0</v>
      </c>
      <c r="I91" s="103">
        <f t="shared" si="31"/>
        <v>27904.08205128205</v>
      </c>
      <c r="J91" s="103">
        <f t="shared" si="31"/>
        <v>2295.8000000000002</v>
      </c>
      <c r="K91" s="103">
        <f t="shared" si="31"/>
        <v>3795.8</v>
      </c>
      <c r="L91" s="103">
        <f t="shared" si="31"/>
        <v>4795.8</v>
      </c>
      <c r="M91" s="103">
        <f t="shared" si="31"/>
        <v>3095.8</v>
      </c>
      <c r="N91" s="103">
        <f t="shared" si="31"/>
        <v>0</v>
      </c>
      <c r="O91" s="103">
        <f>O77+O84+O89</f>
        <v>41887.282051282047</v>
      </c>
      <c r="P91" s="93"/>
      <c r="R91" s="42">
        <f>R77+R84+R89</f>
        <v>33415.666666666672</v>
      </c>
      <c r="S91" s="42">
        <f t="shared" si="31"/>
        <v>8471.6153846153848</v>
      </c>
      <c r="T91" s="114"/>
    </row>
    <row r="92" spans="2:20" s="105" customFormat="1" ht="27.75" customHeight="1">
      <c r="B92" s="106" t="s">
        <v>105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99"/>
      <c r="P92" s="101"/>
      <c r="R92" s="116"/>
      <c r="S92" s="117"/>
      <c r="T92" s="118"/>
    </row>
    <row r="93" spans="2:20" s="105" customFormat="1" ht="20.100000000000001" customHeight="1">
      <c r="B93" s="110" t="s">
        <v>106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101"/>
      <c r="R93" s="119"/>
      <c r="S93" s="120"/>
      <c r="T93" s="121"/>
    </row>
    <row r="94" spans="2:20" s="105" customFormat="1" ht="20.100000000000001" customHeight="1">
      <c r="B94" s="24" t="s">
        <v>107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4">
        <v>1030</v>
      </c>
      <c r="O94" s="107">
        <f t="shared" ref="O94:O95" si="32">SUM(C94:N94)</f>
        <v>1030</v>
      </c>
      <c r="P94" s="101"/>
      <c r="R94" s="104">
        <f>O94</f>
        <v>1030</v>
      </c>
      <c r="S94" s="104">
        <v>0</v>
      </c>
      <c r="T94" s="113"/>
    </row>
    <row r="95" spans="2:20" s="105" customFormat="1" ht="20.100000000000001" customHeight="1">
      <c r="B95" s="73" t="s">
        <v>108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4">
        <v>234</v>
      </c>
      <c r="O95" s="107">
        <f t="shared" si="32"/>
        <v>234</v>
      </c>
      <c r="P95" s="101"/>
      <c r="R95" s="104">
        <f t="shared" ref="R95:R96" si="33">O95</f>
        <v>234</v>
      </c>
      <c r="S95" s="104">
        <v>0</v>
      </c>
      <c r="T95" s="113"/>
    </row>
    <row r="96" spans="2:20" s="105" customFormat="1" ht="20.100000000000001" customHeight="1">
      <c r="B96" s="27" t="s">
        <v>109</v>
      </c>
      <c r="C96" s="104">
        <f>SUM(C93:C95)</f>
        <v>0</v>
      </c>
      <c r="D96" s="104">
        <f t="shared" ref="D96:K96" si="34">SUM(D93:D95)</f>
        <v>0</v>
      </c>
      <c r="E96" s="104">
        <f t="shared" si="34"/>
        <v>0</v>
      </c>
      <c r="F96" s="104">
        <f t="shared" si="34"/>
        <v>0</v>
      </c>
      <c r="G96" s="104">
        <f t="shared" si="34"/>
        <v>0</v>
      </c>
      <c r="H96" s="104">
        <f t="shared" si="34"/>
        <v>0</v>
      </c>
      <c r="I96" s="104">
        <f t="shared" si="34"/>
        <v>0</v>
      </c>
      <c r="J96" s="104">
        <f t="shared" si="34"/>
        <v>0</v>
      </c>
      <c r="K96" s="104">
        <f t="shared" si="34"/>
        <v>0</v>
      </c>
      <c r="L96" s="104">
        <f t="shared" ref="L96" si="35">SUM(L93:L95)</f>
        <v>0</v>
      </c>
      <c r="M96" s="104">
        <f t="shared" ref="M96:N96" si="36">SUM(M93:M95)</f>
        <v>0</v>
      </c>
      <c r="N96" s="104">
        <f t="shared" si="36"/>
        <v>1264</v>
      </c>
      <c r="O96" s="104">
        <f>SUM(O93:O95)</f>
        <v>1264</v>
      </c>
      <c r="P96" s="101"/>
      <c r="R96" s="104">
        <f>SUM(R94:R95)</f>
        <v>1264</v>
      </c>
      <c r="S96" s="104">
        <v>0</v>
      </c>
      <c r="T96" s="113"/>
    </row>
    <row r="97" spans="2:20" s="12" customFormat="1" ht="20.100000000000001" customHeight="1">
      <c r="B97" s="102" t="s">
        <v>110</v>
      </c>
      <c r="C97" s="103">
        <f>C96</f>
        <v>0</v>
      </c>
      <c r="D97" s="103">
        <f t="shared" ref="D97:O97" si="37">D96</f>
        <v>0</v>
      </c>
      <c r="E97" s="103">
        <f t="shared" si="37"/>
        <v>0</v>
      </c>
      <c r="F97" s="103">
        <f t="shared" si="37"/>
        <v>0</v>
      </c>
      <c r="G97" s="103">
        <f t="shared" si="37"/>
        <v>0</v>
      </c>
      <c r="H97" s="103">
        <f t="shared" si="37"/>
        <v>0</v>
      </c>
      <c r="I97" s="103">
        <f t="shared" si="37"/>
        <v>0</v>
      </c>
      <c r="J97" s="103">
        <f t="shared" si="37"/>
        <v>0</v>
      </c>
      <c r="K97" s="103">
        <f t="shared" si="37"/>
        <v>0</v>
      </c>
      <c r="L97" s="103">
        <f t="shared" si="37"/>
        <v>0</v>
      </c>
      <c r="M97" s="103">
        <f t="shared" si="37"/>
        <v>0</v>
      </c>
      <c r="N97" s="103">
        <f t="shared" si="37"/>
        <v>1264</v>
      </c>
      <c r="O97" s="103">
        <f t="shared" si="37"/>
        <v>1264</v>
      </c>
      <c r="P97" s="93"/>
      <c r="R97" s="103">
        <f>R96</f>
        <v>1264</v>
      </c>
      <c r="S97" s="103">
        <f>SUM(S96)</f>
        <v>0</v>
      </c>
      <c r="T97" s="114"/>
    </row>
    <row r="98" spans="2:20" ht="20.100000000000001" customHeight="1">
      <c r="B98" s="34" t="s">
        <v>32</v>
      </c>
      <c r="C98" s="52">
        <f>C91+C61+C36+C20+C97</f>
        <v>0</v>
      </c>
      <c r="D98" s="52">
        <f t="shared" ref="D98:O98" si="38">D91+D61+D36+D20+D97</f>
        <v>13268.07</v>
      </c>
      <c r="E98" s="52">
        <f t="shared" si="38"/>
        <v>5787.2800000000007</v>
      </c>
      <c r="F98" s="52">
        <f t="shared" si="38"/>
        <v>7151.72</v>
      </c>
      <c r="G98" s="52">
        <f t="shared" si="38"/>
        <v>5445.58</v>
      </c>
      <c r="H98" s="52">
        <f t="shared" si="38"/>
        <v>5463.2478672985781</v>
      </c>
      <c r="I98" s="52">
        <f t="shared" si="38"/>
        <v>45373.925376697734</v>
      </c>
      <c r="J98" s="52">
        <f t="shared" si="38"/>
        <v>10018.103645833333</v>
      </c>
      <c r="K98" s="52">
        <f t="shared" si="38"/>
        <v>8948.944262295081</v>
      </c>
      <c r="L98" s="52">
        <f t="shared" si="38"/>
        <v>9309.6</v>
      </c>
      <c r="M98" s="52">
        <f t="shared" si="38"/>
        <v>10268</v>
      </c>
      <c r="N98" s="52">
        <f>N91+N61+N36+N20+N97</f>
        <v>1264</v>
      </c>
      <c r="O98" s="52">
        <f>O91+O61+O36+O20+O97</f>
        <v>122298.47115212472</v>
      </c>
      <c r="P98" s="101"/>
      <c r="Q98" s="3"/>
      <c r="R98" s="52">
        <f>R91+R61+R36+R20</f>
        <v>59271.355767509347</v>
      </c>
      <c r="S98" s="52">
        <f>S91+S61+S36+S20</f>
        <v>61763.115384615383</v>
      </c>
      <c r="T98" s="115"/>
    </row>
    <row r="99" spans="2:20">
      <c r="B99" s="35"/>
    </row>
  </sheetData>
  <mergeCells count="7">
    <mergeCell ref="B2:O2"/>
    <mergeCell ref="R4:T4"/>
    <mergeCell ref="C5:J5"/>
    <mergeCell ref="K5:M5"/>
    <mergeCell ref="B93:O93"/>
    <mergeCell ref="R92:T92"/>
    <mergeCell ref="R93:T93"/>
  </mergeCells>
  <pageMargins left="0.7" right="0.7" top="0.75" bottom="0.75" header="0.3" footer="0.3"/>
  <pageSetup paperSize="9"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4.25"/>
  <cols>
    <col min="1" max="1" width="60.375" customWidth="1"/>
    <col min="2" max="2" width="63.5" customWidth="1"/>
  </cols>
  <sheetData>
    <row r="1" spans="1:2" ht="15">
      <c r="A1" s="125" t="s">
        <v>123</v>
      </c>
      <c r="B1" s="125" t="s">
        <v>124</v>
      </c>
    </row>
    <row r="2" spans="1:2" ht="16.5">
      <c r="A2" s="122" t="s">
        <v>112</v>
      </c>
      <c r="B2" s="124" t="s">
        <v>125</v>
      </c>
    </row>
    <row r="3" spans="1:2" ht="42.75">
      <c r="A3" s="122" t="s">
        <v>113</v>
      </c>
      <c r="B3" s="124" t="s">
        <v>126</v>
      </c>
    </row>
    <row r="4" spans="1:2" ht="156.75">
      <c r="A4" s="122" t="s">
        <v>120</v>
      </c>
      <c r="B4" s="124" t="s">
        <v>127</v>
      </c>
    </row>
    <row r="5" spans="1:2" ht="28.5">
      <c r="A5" s="122" t="s">
        <v>119</v>
      </c>
      <c r="B5" s="124" t="s">
        <v>128</v>
      </c>
    </row>
    <row r="6" spans="1:2" ht="42.75">
      <c r="A6" s="122" t="s">
        <v>114</v>
      </c>
      <c r="B6" s="124" t="s">
        <v>129</v>
      </c>
    </row>
    <row r="7" spans="1:2" ht="42.75">
      <c r="A7" s="122" t="s">
        <v>115</v>
      </c>
      <c r="B7" s="124" t="s">
        <v>130</v>
      </c>
    </row>
    <row r="8" spans="1:2" ht="28.5">
      <c r="A8" s="122" t="s">
        <v>118</v>
      </c>
      <c r="B8" s="124" t="s">
        <v>131</v>
      </c>
    </row>
    <row r="9" spans="1:2" ht="42.75">
      <c r="A9" s="122" t="s">
        <v>116</v>
      </c>
      <c r="B9" s="124" t="s">
        <v>132</v>
      </c>
    </row>
    <row r="10" spans="1:2" ht="16.5">
      <c r="A10" s="122" t="s">
        <v>117</v>
      </c>
      <c r="B10" s="123" t="s">
        <v>133</v>
      </c>
    </row>
    <row r="11" spans="1:2" ht="99.75">
      <c r="A11" s="122" t="s">
        <v>121</v>
      </c>
      <c r="B11" s="124" t="s">
        <v>135</v>
      </c>
    </row>
    <row r="12" spans="1:2" ht="28.5">
      <c r="A12" s="122" t="s">
        <v>122</v>
      </c>
      <c r="B12" s="124" t="s">
        <v>134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com remanejamentos</vt:lpstr>
      <vt:lpstr>Justificativas</vt:lpstr>
    </vt:vector>
  </TitlesOfParts>
  <Company>British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 Alves</dc:creator>
  <cp:lastModifiedBy>flora</cp:lastModifiedBy>
  <cp:lastPrinted>2016-01-16T16:29:15Z</cp:lastPrinted>
  <dcterms:created xsi:type="dcterms:W3CDTF">2015-11-12T17:48:48Z</dcterms:created>
  <dcterms:modified xsi:type="dcterms:W3CDTF">2017-03-10T21:20:02Z</dcterms:modified>
</cp:coreProperties>
</file>